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firstSheet="4" activeTab="4"/>
  </bookViews>
  <sheets>
    <sheet name="2012" sheetId="1" r:id="rId1"/>
    <sheet name="2013" sheetId="2" r:id="rId2"/>
    <sheet name="2014" sheetId="3" r:id="rId3"/>
    <sheet name="2015" sheetId="4" r:id="rId4"/>
    <sheet name="2022" sheetId="5" r:id="rId5"/>
    <sheet name="Sheet3" sheetId="6" r:id="rId6"/>
    <sheet name="Sheet1" sheetId="7" r:id="rId7"/>
  </sheets>
  <definedNames/>
  <calcPr fullCalcOnLoad="1"/>
</workbook>
</file>

<file path=xl/comments1.xml><?xml version="1.0" encoding="utf-8"?>
<comments xmlns="http://schemas.openxmlformats.org/spreadsheetml/2006/main">
  <authors>
    <author>微软用户</author>
  </authors>
  <commentList>
    <comment ref="AB5" authorId="0">
      <text>
        <r>
          <rPr>
            <b/>
            <sz val="9"/>
            <rFont val="宋体"/>
            <family val="0"/>
          </rPr>
          <t>微软用户:</t>
        </r>
        <r>
          <rPr>
            <sz val="9"/>
            <rFont val="宋体"/>
            <family val="0"/>
          </rPr>
          <t xml:space="preserve">
农村大重病2人4000元，区困难家庭300户，每户300元，区、镇2：1配套，镇用临补资金，共60000元，市困难家庭90户，每户500元。共45000元</t>
        </r>
      </text>
    </comment>
    <comment ref="H5" authorId="0">
      <text>
        <r>
          <rPr>
            <b/>
            <sz val="9"/>
            <rFont val="宋体"/>
            <family val="0"/>
          </rPr>
          <t>微软用户:</t>
        </r>
        <r>
          <rPr>
            <sz val="9"/>
            <rFont val="宋体"/>
            <family val="0"/>
          </rPr>
          <t xml:space="preserve">
36792元为重残救济金，1680元为每月每人30元临补</t>
        </r>
      </text>
    </comment>
    <comment ref="J5" authorId="0">
      <text>
        <r>
          <rPr>
            <b/>
            <sz val="9"/>
            <rFont val="宋体"/>
            <family val="0"/>
          </rPr>
          <t>微软用户:</t>
        </r>
        <r>
          <rPr>
            <sz val="9"/>
            <rFont val="宋体"/>
            <family val="0"/>
          </rPr>
          <t xml:space="preserve">
从本月起粮卡调为62元，粮券调为22元</t>
        </r>
      </text>
    </comment>
    <comment ref="T5" authorId="0">
      <text>
        <r>
          <rPr>
            <b/>
            <sz val="9"/>
            <rFont val="宋体"/>
            <family val="0"/>
          </rPr>
          <t>微软用户:</t>
        </r>
        <r>
          <rPr>
            <sz val="9"/>
            <rFont val="宋体"/>
            <family val="0"/>
          </rPr>
          <t xml:space="preserve">
节日帮困中临补、综合帮扶、慈善帮困的已分开计算，本栏中未包括，总帮困人数应为3950人，金额为1087900元。</t>
        </r>
      </text>
    </comment>
    <comment ref="N5" authorId="0">
      <text>
        <r>
          <rPr>
            <b/>
            <sz val="9"/>
            <rFont val="宋体"/>
            <family val="0"/>
          </rPr>
          <t>微软用户:</t>
        </r>
        <r>
          <rPr>
            <sz val="9"/>
            <rFont val="宋体"/>
            <family val="0"/>
          </rPr>
          <t xml:space="preserve">
用于春节帮困，分开计算未列入节日帮困,其中低保节日补助配套448*200=89600元，区慈善分会节日困难家庭补助配套3万元，节日一次性补助224人89600元。</t>
        </r>
      </text>
    </comment>
    <comment ref="X5" authorId="0">
      <text>
        <r>
          <rPr>
            <b/>
            <sz val="9"/>
            <rFont val="宋体"/>
            <family val="0"/>
          </rPr>
          <t>微软用户:</t>
        </r>
        <r>
          <rPr>
            <sz val="9"/>
            <rFont val="宋体"/>
            <family val="0"/>
          </rPr>
          <t xml:space="preserve">
俞杰1月生活费和12月的医疗补助，资金来源镇帮困基金。</t>
        </r>
      </text>
    </comment>
    <comment ref="V6" authorId="0">
      <text>
        <r>
          <rPr>
            <b/>
            <sz val="9"/>
            <rFont val="宋体"/>
            <family val="0"/>
          </rPr>
          <t>微软用户:</t>
        </r>
        <r>
          <rPr>
            <sz val="9"/>
            <rFont val="宋体"/>
            <family val="0"/>
          </rPr>
          <t xml:space="preserve">
支内人员春节节日费从300元调整为500元，补发200元，共122人。</t>
        </r>
      </text>
    </comment>
    <comment ref="X7" authorId="0">
      <text>
        <r>
          <rPr>
            <b/>
            <sz val="9"/>
            <rFont val="宋体"/>
            <family val="0"/>
          </rPr>
          <t>微软用户:</t>
        </r>
        <r>
          <rPr>
            <sz val="9"/>
            <rFont val="宋体"/>
            <family val="0"/>
          </rPr>
          <t xml:space="preserve">
五四3人帮困基金补助3000元。2012年居民医保参保补助184人15560元。2011年低保居保门诊费用补助114人24982.88元，</t>
        </r>
      </text>
    </comment>
    <comment ref="Q7" authorId="0">
      <text>
        <r>
          <rPr>
            <b/>
            <sz val="9"/>
            <rFont val="宋体"/>
            <family val="0"/>
          </rPr>
          <t>微软用户:</t>
        </r>
        <r>
          <rPr>
            <sz val="9"/>
            <rFont val="宋体"/>
            <family val="0"/>
          </rPr>
          <t xml:space="preserve">
王怡玥、张佳冰慈善手拉手帮困各2500元</t>
        </r>
      </text>
    </comment>
    <comment ref="L8" authorId="0">
      <text>
        <r>
          <rPr>
            <b/>
            <sz val="9"/>
            <rFont val="宋体"/>
            <family val="0"/>
          </rPr>
          <t>微软用户:</t>
        </r>
        <r>
          <rPr>
            <sz val="9"/>
            <rFont val="宋体"/>
            <family val="0"/>
          </rPr>
          <t xml:space="preserve">
其中顾翠琴精神病人的50%慈善医疗救助放在慈善帮困内。虞学锋慈善医疗救助未批，应通过残联解决。</t>
        </r>
      </text>
    </comment>
    <comment ref="AB7" authorId="0">
      <text>
        <r>
          <rPr>
            <b/>
            <sz val="9"/>
            <rFont val="宋体"/>
            <family val="0"/>
          </rPr>
          <t>微软用户:</t>
        </r>
        <r>
          <rPr>
            <sz val="9"/>
            <rFont val="宋体"/>
            <family val="0"/>
          </rPr>
          <t xml:space="preserve">
星二朱伟5000元</t>
        </r>
      </text>
    </comment>
    <comment ref="X8" authorId="0">
      <text>
        <r>
          <rPr>
            <b/>
            <sz val="9"/>
            <rFont val="宋体"/>
            <family val="0"/>
          </rPr>
          <t>微软用户:</t>
        </r>
        <r>
          <rPr>
            <sz val="9"/>
            <rFont val="宋体"/>
            <family val="0"/>
          </rPr>
          <t xml:space="preserve">
五四王品娟1000，五四袁金台1200，俞杰1000</t>
        </r>
      </text>
    </comment>
    <comment ref="AB8" authorId="0">
      <text>
        <r>
          <rPr>
            <b/>
            <sz val="9"/>
            <rFont val="宋体"/>
            <family val="0"/>
          </rPr>
          <t>微软用户:</t>
        </r>
        <r>
          <rPr>
            <sz val="9"/>
            <rFont val="宋体"/>
            <family val="0"/>
          </rPr>
          <t xml:space="preserve">
五四顾翠琴精神病同步慈善医疗救助50%=2666元</t>
        </r>
      </text>
    </comment>
    <comment ref="X10" authorId="0">
      <text>
        <r>
          <rPr>
            <b/>
            <sz val="9"/>
            <rFont val="宋体"/>
            <family val="0"/>
          </rPr>
          <t>微软用户:</t>
        </r>
        <r>
          <rPr>
            <sz val="9"/>
            <rFont val="宋体"/>
            <family val="0"/>
          </rPr>
          <t xml:space="preserve">
王老虎费用3926元</t>
        </r>
      </text>
    </comment>
    <comment ref="X11" authorId="0">
      <text>
        <r>
          <rPr>
            <b/>
            <sz val="9"/>
            <rFont val="宋体"/>
            <family val="0"/>
          </rPr>
          <t>微软用户:</t>
        </r>
        <r>
          <rPr>
            <sz val="9"/>
            <rFont val="宋体"/>
            <family val="0"/>
          </rPr>
          <t xml:space="preserve">
俞杰帮困基金1000元，一季度低保、重残、传统对象物价补助831人62325元。</t>
        </r>
      </text>
    </comment>
    <comment ref="P11" authorId="0">
      <text>
        <r>
          <rPr>
            <b/>
            <sz val="9"/>
            <rFont val="宋体"/>
            <family val="0"/>
          </rPr>
          <t>微软用户:</t>
        </r>
        <r>
          <rPr>
            <sz val="9"/>
            <rFont val="宋体"/>
            <family val="0"/>
          </rPr>
          <t xml:space="preserve">
本月起，王维不再享受孤儿生活补助，改低保。</t>
        </r>
      </text>
    </comment>
    <comment ref="N12" authorId="0">
      <text>
        <r>
          <rPr>
            <b/>
            <sz val="9"/>
            <rFont val="宋体"/>
            <family val="0"/>
          </rPr>
          <t>微软用户:</t>
        </r>
        <r>
          <rPr>
            <sz val="9"/>
            <rFont val="宋体"/>
            <family val="0"/>
          </rPr>
          <t xml:space="preserve">
八一困难优抚46人23000元，困难学生29人15300元，临补46人19600元，共121人，57900元。</t>
        </r>
      </text>
    </comment>
    <comment ref="R12" authorId="0">
      <text>
        <r>
          <rPr>
            <b/>
            <sz val="9"/>
            <rFont val="宋体"/>
            <family val="0"/>
          </rPr>
          <t>微软用户:</t>
        </r>
        <r>
          <rPr>
            <sz val="9"/>
            <rFont val="宋体"/>
            <family val="0"/>
          </rPr>
          <t xml:space="preserve">
第一批高中11人，16000元，高等33人155000元，特殊困难学生29人15300元计入临补中。</t>
        </r>
      </text>
    </comment>
    <comment ref="X12" authorId="0">
      <text>
        <r>
          <rPr>
            <b/>
            <sz val="9"/>
            <rFont val="宋体"/>
            <family val="0"/>
          </rPr>
          <t>微软用户:</t>
        </r>
        <r>
          <rPr>
            <sz val="9"/>
            <rFont val="宋体"/>
            <family val="0"/>
          </rPr>
          <t xml:space="preserve">
俞杰帮困基金1000元，4人居保缴费补助1580元。</t>
        </r>
      </text>
    </comment>
    <comment ref="R11" authorId="0">
      <text>
        <r>
          <rPr>
            <b/>
            <sz val="9"/>
            <rFont val="宋体"/>
            <family val="0"/>
          </rPr>
          <t>微软用户:</t>
        </r>
        <r>
          <rPr>
            <sz val="9"/>
            <rFont val="宋体"/>
            <family val="0"/>
          </rPr>
          <t xml:space="preserve">
秋季助学券发放63人，按每人每月110元计算，一学期为5个月，共34650元，8月发放。</t>
        </r>
      </text>
    </comment>
    <comment ref="R5" authorId="0">
      <text>
        <r>
          <rPr>
            <b/>
            <sz val="9"/>
            <rFont val="宋体"/>
            <family val="0"/>
          </rPr>
          <t>微软用户:</t>
        </r>
        <r>
          <rPr>
            <sz val="9"/>
            <rFont val="宋体"/>
            <family val="0"/>
          </rPr>
          <t xml:space="preserve">
2012年春季助学券发放，共75人*110元/月*5个月，共41250元。</t>
        </r>
      </text>
    </comment>
    <comment ref="AB13" authorId="0">
      <text>
        <r>
          <rPr>
            <b/>
            <sz val="9"/>
            <rFont val="宋体"/>
            <family val="0"/>
          </rPr>
          <t>微软用户:</t>
        </r>
        <r>
          <rPr>
            <sz val="9"/>
            <rFont val="宋体"/>
            <family val="0"/>
          </rPr>
          <t xml:space="preserve">
燎原周扣根2000元</t>
        </r>
      </text>
    </comment>
    <comment ref="X14" authorId="0">
      <text>
        <r>
          <rPr>
            <b/>
            <sz val="9"/>
            <rFont val="宋体"/>
            <family val="0"/>
          </rPr>
          <t>微软用户:</t>
        </r>
        <r>
          <rPr>
            <sz val="9"/>
            <rFont val="宋体"/>
            <family val="0"/>
          </rPr>
          <t xml:space="preserve">
杨三根国庆节日补助费500元。俞杰1000元。</t>
        </r>
      </text>
    </comment>
    <comment ref="T14" authorId="0">
      <text>
        <r>
          <rPr>
            <b/>
            <sz val="9"/>
            <rFont val="宋体"/>
            <family val="0"/>
          </rPr>
          <t>微软用户:</t>
        </r>
        <r>
          <rPr>
            <sz val="9"/>
            <rFont val="宋体"/>
            <family val="0"/>
          </rPr>
          <t xml:space="preserve">
56人19800元在临补中。</t>
        </r>
      </text>
    </comment>
    <comment ref="M18" authorId="0">
      <text>
        <r>
          <rPr>
            <b/>
            <sz val="9"/>
            <rFont val="宋体"/>
            <family val="0"/>
          </rPr>
          <t>微软用户:</t>
        </r>
        <r>
          <rPr>
            <sz val="9"/>
            <rFont val="宋体"/>
            <family val="0"/>
          </rPr>
          <t xml:space="preserve">
去除春节帮困的临补</t>
        </r>
      </text>
    </comment>
  </commentList>
</comments>
</file>

<file path=xl/comments2.xml><?xml version="1.0" encoding="utf-8"?>
<comments xmlns="http://schemas.openxmlformats.org/spreadsheetml/2006/main">
  <authors>
    <author>微软用户</author>
  </authors>
  <commentList>
    <comment ref="H5" authorId="0">
      <text>
        <r>
          <rPr>
            <b/>
            <sz val="9"/>
            <rFont val="宋体"/>
            <family val="0"/>
          </rPr>
          <t>微软用户:</t>
        </r>
        <r>
          <rPr>
            <sz val="9"/>
            <rFont val="宋体"/>
            <family val="0"/>
          </rPr>
          <t xml:space="preserve">
42978为重残救济金，1740元为每月每人30元临补</t>
        </r>
      </text>
    </comment>
    <comment ref="V5" authorId="0">
      <text>
        <r>
          <rPr>
            <b/>
            <sz val="9"/>
            <rFont val="宋体"/>
            <family val="0"/>
          </rPr>
          <t>微软用户:</t>
        </r>
        <r>
          <rPr>
            <sz val="9"/>
            <rFont val="宋体"/>
            <family val="0"/>
          </rPr>
          <t xml:space="preserve">
俞杰1月生活费和12月的医疗补助，资金来源镇帮困基金。</t>
        </r>
      </text>
    </comment>
    <comment ref="V7" authorId="0">
      <text>
        <r>
          <rPr>
            <b/>
            <sz val="9"/>
            <rFont val="宋体"/>
            <family val="0"/>
          </rPr>
          <t>微软用户:</t>
        </r>
        <r>
          <rPr>
            <sz val="9"/>
            <rFont val="宋体"/>
            <family val="0"/>
          </rPr>
          <t xml:space="preserve">
</t>
        </r>
      </text>
    </comment>
    <comment ref="L7" authorId="0">
      <text>
        <r>
          <rPr>
            <b/>
            <sz val="9"/>
            <rFont val="宋体"/>
            <family val="0"/>
          </rPr>
          <t>微软用户:</t>
        </r>
        <r>
          <rPr>
            <sz val="9"/>
            <rFont val="宋体"/>
            <family val="0"/>
          </rPr>
          <t xml:space="preserve">
其中顾翠琴精神病人的50%慈善医疗救助放在慈善帮困内。虞学锋慈善医疗救助未批，应通过残联解决。</t>
        </r>
      </text>
    </comment>
    <comment ref="P5" authorId="0">
      <text>
        <r>
          <rPr>
            <b/>
            <sz val="9"/>
            <rFont val="宋体"/>
            <family val="0"/>
          </rPr>
          <t>微软用户:</t>
        </r>
        <r>
          <rPr>
            <sz val="9"/>
            <rFont val="宋体"/>
            <family val="0"/>
          </rPr>
          <t xml:space="preserve">
2013年春季助学券发放，共57人*110元/月*5个月，共31350元。</t>
        </r>
      </text>
    </comment>
    <comment ref="Z13" authorId="0">
      <text>
        <r>
          <rPr>
            <b/>
            <sz val="9"/>
            <rFont val="宋体"/>
            <family val="0"/>
          </rPr>
          <t>微软用户:</t>
        </r>
        <r>
          <rPr>
            <sz val="9"/>
            <rFont val="宋体"/>
            <family val="0"/>
          </rPr>
          <t xml:space="preserve">
燎原周扣根2000元</t>
        </r>
      </text>
    </comment>
    <comment ref="U9" authorId="0">
      <text>
        <r>
          <rPr>
            <b/>
            <sz val="9"/>
            <rFont val="宋体"/>
            <family val="0"/>
          </rPr>
          <t>微软用户:</t>
        </r>
        <r>
          <rPr>
            <sz val="9"/>
            <rFont val="宋体"/>
            <family val="0"/>
          </rPr>
          <t xml:space="preserve">
居保缴费补助130人，13736.67元。居保个人缴费补贴1人，120元。</t>
        </r>
      </text>
    </comment>
    <comment ref="U7" authorId="0">
      <text>
        <r>
          <rPr>
            <b/>
            <sz val="8"/>
            <rFont val="宋体"/>
            <family val="0"/>
          </rPr>
          <t>微软用户:2012年度居保门急诊返回第一批169人，39210.28元。3月份居保个人缴费补助182人，21840元。</t>
        </r>
      </text>
    </comment>
    <comment ref="U8" authorId="0">
      <text>
        <r>
          <rPr>
            <b/>
            <sz val="9"/>
            <rFont val="宋体"/>
            <family val="0"/>
          </rPr>
          <t>微软用户:</t>
        </r>
        <r>
          <rPr>
            <sz val="9"/>
            <rFont val="宋体"/>
            <family val="0"/>
          </rPr>
          <t xml:space="preserve">
2012年度居保门急诊返回第二批7人，1431.28；居保缴费个人部门补贴5人，600元。</t>
        </r>
      </text>
    </comment>
    <comment ref="S5" authorId="0">
      <text>
        <r>
          <rPr>
            <b/>
            <sz val="9"/>
            <rFont val="宋体"/>
            <family val="0"/>
          </rPr>
          <t>微软用户:</t>
        </r>
        <r>
          <rPr>
            <sz val="9"/>
            <rFont val="宋体"/>
            <family val="0"/>
          </rPr>
          <t xml:space="preserve">
12月发放第一季度</t>
        </r>
      </text>
    </comment>
    <comment ref="W5" authorId="0">
      <text>
        <r>
          <rPr>
            <b/>
            <sz val="9"/>
            <rFont val="宋体"/>
            <family val="0"/>
          </rPr>
          <t>微软用户:</t>
        </r>
        <r>
          <rPr>
            <sz val="9"/>
            <rFont val="宋体"/>
            <family val="0"/>
          </rPr>
          <t xml:space="preserve">
春节个案3人，15000元，春节项目12人，24000元。</t>
        </r>
      </text>
    </comment>
    <comment ref="W8" authorId="0">
      <text>
        <r>
          <rPr>
            <b/>
            <sz val="9"/>
            <rFont val="宋体"/>
            <family val="0"/>
          </rPr>
          <t>微软用户:</t>
        </r>
        <r>
          <rPr>
            <sz val="9"/>
            <rFont val="宋体"/>
            <family val="0"/>
          </rPr>
          <t xml:space="preserve">
个案</t>
        </r>
      </text>
    </comment>
    <comment ref="H6" authorId="0">
      <text>
        <r>
          <rPr>
            <b/>
            <sz val="9"/>
            <rFont val="宋体"/>
            <family val="0"/>
          </rPr>
          <t>微软用户:</t>
        </r>
        <r>
          <rPr>
            <sz val="9"/>
            <rFont val="宋体"/>
            <family val="0"/>
          </rPr>
          <t xml:space="preserve">
42237+57*30</t>
        </r>
      </text>
    </comment>
    <comment ref="U11" authorId="0">
      <text>
        <r>
          <rPr>
            <b/>
            <sz val="9"/>
            <rFont val="宋体"/>
            <family val="0"/>
          </rPr>
          <t>微软用户:居保个缴补助</t>
        </r>
      </text>
    </comment>
    <comment ref="Q11" authorId="0">
      <text>
        <r>
          <rPr>
            <b/>
            <sz val="9"/>
            <rFont val="宋体"/>
            <family val="0"/>
          </rPr>
          <t>微软用户:</t>
        </r>
        <r>
          <rPr>
            <sz val="9"/>
            <rFont val="宋体"/>
            <family val="0"/>
          </rPr>
          <t xml:space="preserve">
八一优抚临补</t>
        </r>
      </text>
    </comment>
    <comment ref="V14" authorId="0">
      <text>
        <r>
          <rPr>
            <b/>
            <sz val="9"/>
            <rFont val="宋体"/>
            <family val="0"/>
          </rPr>
          <t>微软用户:</t>
        </r>
        <r>
          <rPr>
            <sz val="9"/>
            <rFont val="宋体"/>
            <family val="0"/>
          </rPr>
          <t xml:space="preserve">
司法上报李信荣，三无释放人员，肝硬化补肋600元。</t>
        </r>
      </text>
    </comment>
    <comment ref="Y14" authorId="0">
      <text>
        <r>
          <rPr>
            <b/>
            <sz val="9"/>
            <rFont val="宋体"/>
            <family val="0"/>
          </rPr>
          <t>微软用户:</t>
        </r>
        <r>
          <rPr>
            <sz val="9"/>
            <rFont val="宋体"/>
            <family val="0"/>
          </rPr>
          <t xml:space="preserve">
司法对象李信荣</t>
        </r>
      </text>
    </comment>
  </commentList>
</comments>
</file>

<file path=xl/comments3.xml><?xml version="1.0" encoding="utf-8"?>
<comments xmlns="http://schemas.openxmlformats.org/spreadsheetml/2006/main">
  <authors>
    <author>微软用户</author>
  </authors>
  <commentList>
    <comment ref="H5" authorId="0">
      <text>
        <r>
          <rPr>
            <b/>
            <sz val="9"/>
            <rFont val="宋体"/>
            <family val="0"/>
          </rPr>
          <t>微软用户:</t>
        </r>
        <r>
          <rPr>
            <sz val="9"/>
            <rFont val="宋体"/>
            <family val="0"/>
          </rPr>
          <t xml:space="preserve">
62*832=51584为重残救济金，1860元为每月每人30元临补</t>
        </r>
      </text>
    </comment>
    <comment ref="V5" authorId="0">
      <text>
        <r>
          <rPr>
            <b/>
            <sz val="9"/>
            <rFont val="宋体"/>
            <family val="0"/>
          </rPr>
          <t>毕晓峰精神病住院救助</t>
        </r>
      </text>
    </comment>
    <comment ref="W5" authorId="0">
      <text>
        <r>
          <rPr>
            <b/>
            <sz val="9"/>
            <rFont val="宋体"/>
            <family val="0"/>
          </rPr>
          <t>微软用户:</t>
        </r>
        <r>
          <rPr>
            <sz val="9"/>
            <rFont val="宋体"/>
            <family val="0"/>
          </rPr>
          <t xml:space="preserve">
春节个案3人，15000元，春节项目12人，24000元。</t>
        </r>
      </text>
    </comment>
    <comment ref="J5" authorId="0">
      <text>
        <r>
          <rPr>
            <b/>
            <sz val="9"/>
            <rFont val="宋体"/>
            <family val="0"/>
          </rPr>
          <t>微软用户:</t>
        </r>
        <r>
          <rPr>
            <sz val="9"/>
            <rFont val="宋体"/>
            <family val="0"/>
          </rPr>
          <t xml:space="preserve">
187*65+22*22</t>
        </r>
      </text>
    </comment>
    <comment ref="Y5" authorId="0">
      <text>
        <r>
          <rPr>
            <b/>
            <sz val="9"/>
            <rFont val="宋体"/>
            <family val="0"/>
          </rPr>
          <t>微软用户:</t>
        </r>
        <r>
          <rPr>
            <sz val="9"/>
            <rFont val="宋体"/>
            <family val="0"/>
          </rPr>
          <t xml:space="preserve">
慈善特困30户，30000元，慈善一次性450户，180000元。</t>
        </r>
      </text>
    </comment>
    <comment ref="R5" authorId="0">
      <text>
        <r>
          <rPr>
            <b/>
            <sz val="6"/>
            <rFont val="宋体"/>
            <family val="0"/>
          </rPr>
          <t>微软用户:</t>
        </r>
        <r>
          <rPr>
            <sz val="6"/>
            <rFont val="宋体"/>
            <family val="0"/>
          </rPr>
          <t xml:space="preserve">
春节医疗救助，160户*500＝80000元；节日券150*367＝55050元；低保节日补助400*367＝146800元；大礼包300*501＝150300元；特殊对象300*65＝19500元；非特台风30*1000＝30000元；东海观音18*300＝5400元；支内节日144*500＝72000，12月发；</t>
        </r>
      </text>
    </comment>
    <comment ref="N5" authorId="0">
      <text>
        <r>
          <rPr>
            <b/>
            <sz val="9"/>
            <rFont val="宋体"/>
            <family val="0"/>
          </rPr>
          <t>微软用户:</t>
        </r>
        <r>
          <rPr>
            <sz val="9"/>
            <rFont val="宋体"/>
            <family val="0"/>
          </rPr>
          <t xml:space="preserve">
春节一次性临时补助（托底）</t>
        </r>
      </text>
    </comment>
    <comment ref="J6" authorId="0">
      <text>
        <r>
          <rPr>
            <b/>
            <sz val="9"/>
            <rFont val="宋体"/>
            <family val="0"/>
          </rPr>
          <t>微软用户:</t>
        </r>
        <r>
          <rPr>
            <sz val="9"/>
            <rFont val="宋体"/>
            <family val="0"/>
          </rPr>
          <t xml:space="preserve">
187*65+21*22</t>
        </r>
      </text>
    </comment>
    <comment ref="U7" authorId="0">
      <text>
        <r>
          <rPr>
            <b/>
            <sz val="9"/>
            <rFont val="宋体"/>
            <family val="0"/>
          </rPr>
          <t>微软用户:</t>
        </r>
        <r>
          <rPr>
            <sz val="9"/>
            <rFont val="宋体"/>
            <family val="0"/>
          </rPr>
          <t xml:space="preserve">
低保医保起付线减免168人38048.85元，居保补助（儿童、学生每人90元）122人，10980元</t>
        </r>
      </text>
    </comment>
    <comment ref="P8" authorId="0">
      <text>
        <r>
          <rPr>
            <b/>
            <sz val="9"/>
            <rFont val="宋体"/>
            <family val="0"/>
          </rPr>
          <t>微软用户:</t>
        </r>
        <r>
          <rPr>
            <sz val="9"/>
            <rFont val="宋体"/>
            <family val="0"/>
          </rPr>
          <t xml:space="preserve">
星火张佳斌慈善手拉手助学帮困2500元</t>
        </r>
      </text>
    </comment>
    <comment ref="U9" authorId="0">
      <text>
        <r>
          <rPr>
            <b/>
            <sz val="9"/>
            <rFont val="宋体"/>
            <family val="0"/>
          </rPr>
          <t>微软用户:</t>
        </r>
        <r>
          <rPr>
            <sz val="9"/>
            <rFont val="宋体"/>
            <family val="0"/>
          </rPr>
          <t xml:space="preserve">
镇帮困资金中港潘金凤1000元</t>
        </r>
      </text>
    </comment>
    <comment ref="W9" authorId="0">
      <text>
        <r>
          <rPr>
            <b/>
            <sz val="9"/>
            <rFont val="宋体"/>
            <family val="0"/>
          </rPr>
          <t>微软用户:</t>
        </r>
        <r>
          <rPr>
            <sz val="9"/>
            <rFont val="宋体"/>
            <family val="0"/>
          </rPr>
          <t xml:space="preserve">
黄文才，助老3000元。</t>
        </r>
      </text>
    </comment>
    <comment ref="W11" authorId="0">
      <text>
        <r>
          <rPr>
            <b/>
            <sz val="9"/>
            <rFont val="宋体"/>
            <family val="0"/>
          </rPr>
          <t>微软用户:</t>
        </r>
        <r>
          <rPr>
            <sz val="9"/>
            <rFont val="宋体"/>
            <family val="0"/>
          </rPr>
          <t xml:space="preserve">
严水莲助老5000元，中央帮扶潘金凤3000元。</t>
        </r>
      </text>
    </comment>
    <comment ref="U12" authorId="0">
      <text>
        <r>
          <rPr>
            <b/>
            <sz val="9"/>
            <rFont val="宋体"/>
            <family val="0"/>
          </rPr>
          <t>微软用户:</t>
        </r>
        <r>
          <rPr>
            <sz val="9"/>
            <rFont val="宋体"/>
            <family val="0"/>
          </rPr>
          <t xml:space="preserve">
帮困资金，星火外地人王传明，组织科申请500元。中港董建海5000元。</t>
        </r>
      </text>
    </comment>
    <comment ref="V10" authorId="0">
      <text>
        <r>
          <rPr>
            <b/>
            <sz val="9"/>
            <rFont val="宋体"/>
            <family val="0"/>
          </rPr>
          <t>微软用户:</t>
        </r>
        <r>
          <rPr>
            <sz val="9"/>
            <rFont val="宋体"/>
            <family val="0"/>
          </rPr>
          <t xml:space="preserve">
包括王天蟾门诊211.8
虞学锋、毕晓峰二人精神病医疗救助1809+568=2377元。</t>
        </r>
      </text>
    </comment>
    <comment ref="U11" authorId="0">
      <text>
        <r>
          <rPr>
            <b/>
            <sz val="9"/>
            <rFont val="宋体"/>
            <family val="0"/>
          </rPr>
          <t>微软用户:</t>
        </r>
        <r>
          <rPr>
            <sz val="9"/>
            <rFont val="宋体"/>
            <family val="0"/>
          </rPr>
          <t xml:space="preserve">
星火二居陈其宾500元</t>
        </r>
      </text>
    </comment>
    <comment ref="W14" authorId="0">
      <text>
        <r>
          <rPr>
            <b/>
            <sz val="9"/>
            <rFont val="宋体"/>
            <family val="0"/>
          </rPr>
          <t>微软用户:</t>
        </r>
        <r>
          <rPr>
            <sz val="9"/>
            <rFont val="宋体"/>
            <family val="0"/>
          </rPr>
          <t xml:space="preserve">
洪卫张福妹5000</t>
        </r>
      </text>
    </comment>
    <comment ref="W12" authorId="0">
      <text>
        <r>
          <rPr>
            <b/>
            <sz val="9"/>
            <rFont val="宋体"/>
            <family val="0"/>
          </rPr>
          <t>微软用户:</t>
        </r>
        <r>
          <rPr>
            <sz val="9"/>
            <rFont val="宋体"/>
            <family val="0"/>
          </rPr>
          <t xml:space="preserve">
燎原陈强3000元</t>
        </r>
      </text>
    </comment>
    <comment ref="M12" authorId="0">
      <text>
        <r>
          <rPr>
            <b/>
            <sz val="9"/>
            <rFont val="宋体"/>
            <family val="0"/>
          </rPr>
          <t>微软用户:</t>
        </r>
        <r>
          <rPr>
            <sz val="9"/>
            <rFont val="宋体"/>
            <family val="0"/>
          </rPr>
          <t xml:space="preserve">
其中特殊对象助学帮困19人，11200元，临补44人16190元。</t>
        </r>
      </text>
    </comment>
    <comment ref="P12" authorId="0">
      <text>
        <r>
          <rPr>
            <b/>
            <sz val="9"/>
            <rFont val="宋体"/>
            <family val="0"/>
          </rPr>
          <t>微软用户:</t>
        </r>
        <r>
          <rPr>
            <sz val="9"/>
            <rFont val="宋体"/>
            <family val="0"/>
          </rPr>
          <t xml:space="preserve">
其中64张助学券，折算为35200元，</t>
        </r>
        <r>
          <rPr>
            <sz val="9"/>
            <color indexed="10"/>
            <rFont val="宋体"/>
            <family val="0"/>
          </rPr>
          <t>特殊对象19人11200元，已在临补中计入。</t>
        </r>
      </text>
    </comment>
    <comment ref="AB12" authorId="0">
      <text>
        <r>
          <rPr>
            <b/>
            <sz val="9"/>
            <rFont val="宋体"/>
            <family val="0"/>
          </rPr>
          <t>微软用户:</t>
        </r>
        <r>
          <rPr>
            <sz val="9"/>
            <rFont val="宋体"/>
            <family val="0"/>
          </rPr>
          <t xml:space="preserve">
减少的11200为助学帮困中与临补的重复部分。</t>
        </r>
      </text>
    </comment>
    <comment ref="U13" authorId="0">
      <text>
        <r>
          <rPr>
            <b/>
            <sz val="9"/>
            <rFont val="宋体"/>
            <family val="0"/>
          </rPr>
          <t>微软用户:</t>
        </r>
        <r>
          <rPr>
            <sz val="9"/>
            <rFont val="宋体"/>
            <family val="0"/>
          </rPr>
          <t xml:space="preserve">
洪卫李竞雄门诊600元,星火二居陈其宾帮困资金500元。</t>
        </r>
      </text>
    </comment>
    <comment ref="U14" authorId="0">
      <text>
        <r>
          <rPr>
            <b/>
            <sz val="9"/>
            <rFont val="宋体"/>
            <family val="0"/>
          </rPr>
          <t>微软用户:</t>
        </r>
        <r>
          <rPr>
            <sz val="9"/>
            <rFont val="宋体"/>
            <family val="0"/>
          </rPr>
          <t xml:space="preserve">
门诊2人1200元，中港胡蓉、一兴王延增</t>
        </r>
      </text>
    </comment>
    <comment ref="U15" authorId="0">
      <text>
        <r>
          <rPr>
            <b/>
            <sz val="9"/>
            <rFont val="宋体"/>
            <family val="0"/>
          </rPr>
          <t>微软用户:</t>
        </r>
        <r>
          <rPr>
            <sz val="9"/>
            <rFont val="宋体"/>
            <family val="0"/>
          </rPr>
          <t xml:space="preserve">
门诊医疗：蒲孝敏、孙国明、颜文忠、周群各600元，陈元朋273.8，王荣珍442.2</t>
        </r>
      </text>
    </comment>
    <comment ref="K15" authorId="0">
      <text>
        <r>
          <rPr>
            <b/>
            <sz val="9"/>
            <rFont val="宋体"/>
            <family val="0"/>
          </rPr>
          <t>微软用户:</t>
        </r>
        <r>
          <rPr>
            <sz val="9"/>
            <rFont val="宋体"/>
            <family val="0"/>
          </rPr>
          <t xml:space="preserve">
本月起，医疗救助纳入收入核对，报告期一个月，报告未到，下月救助。</t>
        </r>
      </text>
    </comment>
    <comment ref="U16" authorId="0">
      <text>
        <r>
          <rPr>
            <b/>
            <sz val="9"/>
            <rFont val="宋体"/>
            <family val="0"/>
          </rPr>
          <t>微软用户:</t>
        </r>
        <r>
          <rPr>
            <sz val="9"/>
            <rFont val="宋体"/>
            <family val="0"/>
          </rPr>
          <t xml:space="preserve">
2014年度慢性病医疗救助11人，6600元。帮困资金王天蟾1200元，</t>
        </r>
      </text>
    </comment>
    <comment ref="Y15" authorId="0">
      <text>
        <r>
          <rPr>
            <b/>
            <sz val="9"/>
            <rFont val="宋体"/>
            <family val="0"/>
          </rPr>
          <t>微软用户:</t>
        </r>
        <r>
          <rPr>
            <sz val="9"/>
            <rFont val="宋体"/>
            <family val="0"/>
          </rPr>
          <t xml:space="preserve">
慈善分会尿毒症区外血透补助费，每人每年5000元，共5人。</t>
        </r>
      </text>
    </comment>
  </commentList>
</comments>
</file>

<file path=xl/comments4.xml><?xml version="1.0" encoding="utf-8"?>
<comments xmlns="http://schemas.openxmlformats.org/spreadsheetml/2006/main">
  <authors>
    <author>微软用户</author>
  </authors>
  <commentList>
    <comment ref="AB6" authorId="0">
      <text>
        <r>
          <rPr>
            <b/>
            <sz val="9"/>
            <rFont val="宋体"/>
            <family val="0"/>
          </rPr>
          <t>微软用户:</t>
        </r>
        <r>
          <rPr>
            <sz val="9"/>
            <rFont val="宋体"/>
            <family val="0"/>
          </rPr>
          <t xml:space="preserve">
2015年春节</t>
        </r>
      </text>
    </comment>
    <comment ref="Z6" authorId="0">
      <text>
        <r>
          <rPr>
            <b/>
            <sz val="9"/>
            <rFont val="宋体"/>
            <family val="0"/>
          </rPr>
          <t>微软用户:</t>
        </r>
        <r>
          <rPr>
            <sz val="9"/>
            <rFont val="宋体"/>
            <family val="0"/>
          </rPr>
          <t xml:space="preserve">
30*1000=3万，450*400=18万，其中区13.5万，镇4.5万（用慈善返还资金），钱鹤葵慈善3万元，其中镇2区1万。</t>
        </r>
      </text>
    </comment>
    <comment ref="V6" authorId="0">
      <text>
        <r>
          <rPr>
            <b/>
            <sz val="9"/>
            <rFont val="宋体"/>
            <family val="0"/>
          </rPr>
          <t>微软用户:</t>
        </r>
        <r>
          <rPr>
            <sz val="9"/>
            <rFont val="宋体"/>
            <family val="0"/>
          </rPr>
          <t xml:space="preserve">
大礼包501份*300=150300元，购物卡200元*186张+300元*168张=87600元，节日临时医疗补助166人8万元。2月新批低保补OK卡，200元4户，300元4户，共2000元。</t>
        </r>
      </text>
    </comment>
    <comment ref="V5" authorId="0">
      <text>
        <r>
          <rPr>
            <b/>
            <sz val="9"/>
            <rFont val="宋体"/>
            <family val="0"/>
          </rPr>
          <t>微软用户:</t>
        </r>
        <r>
          <rPr>
            <sz val="9"/>
            <rFont val="宋体"/>
            <family val="0"/>
          </rPr>
          <t xml:space="preserve">
352户低保，2户因病支出型贫困构354户，每户400元，共141600元，其中一半70800由临补资金支出，1个传统60个重残，每人350元，共21350元。</t>
        </r>
      </text>
    </comment>
    <comment ref="R5" authorId="0">
      <text>
        <r>
          <rPr>
            <b/>
            <sz val="9"/>
            <rFont val="宋体"/>
            <family val="0"/>
          </rPr>
          <t>微软用户:</t>
        </r>
        <r>
          <rPr>
            <sz val="9"/>
            <rFont val="宋体"/>
            <family val="0"/>
          </rPr>
          <t xml:space="preserve">
节日补助的354户，镇用临补配套，共70800元。已在节日帮困中统计。</t>
        </r>
      </text>
    </comment>
    <comment ref="AD5" authorId="0">
      <text>
        <r>
          <rPr>
            <sz val="9"/>
            <rFont val="宋体"/>
            <family val="0"/>
          </rPr>
          <t xml:space="preserve">陈其宾500元。
</t>
        </r>
      </text>
    </comment>
    <comment ref="R6" authorId="0">
      <text>
        <r>
          <rPr>
            <b/>
            <sz val="9"/>
            <rFont val="宋体"/>
            <family val="0"/>
          </rPr>
          <t>微软用户:</t>
        </r>
        <r>
          <rPr>
            <sz val="9"/>
            <rFont val="宋体"/>
            <family val="0"/>
          </rPr>
          <t xml:space="preserve">
春节部分对象临补178人，55300元，一般优抚78人，39000元，共94300元。</t>
        </r>
      </text>
    </comment>
    <comment ref="AD6" authorId="0">
      <text>
        <r>
          <rPr>
            <b/>
            <sz val="9"/>
            <rFont val="宋体"/>
            <family val="0"/>
          </rPr>
          <t>微软用户:</t>
        </r>
        <r>
          <rPr>
            <sz val="9"/>
            <rFont val="宋体"/>
            <family val="0"/>
          </rPr>
          <t xml:space="preserve">
重点优抚33人，老龄64人，共97人，每人500+200，中港谢军500元，共68400，</t>
        </r>
      </text>
    </comment>
    <comment ref="Q7" authorId="0">
      <text>
        <r>
          <rPr>
            <b/>
            <sz val="9"/>
            <rFont val="宋体"/>
            <family val="0"/>
          </rPr>
          <t>微软用户:</t>
        </r>
        <r>
          <rPr>
            <sz val="9"/>
            <rFont val="宋体"/>
            <family val="0"/>
          </rPr>
          <t xml:space="preserve">
2月份新批低保，镇配套1600元。3月临补31人，14580元，居保缴费补助113人，13560元。</t>
        </r>
      </text>
    </comment>
    <comment ref="AC7" authorId="0">
      <text>
        <r>
          <rPr>
            <b/>
            <sz val="9"/>
            <rFont val="宋体"/>
            <family val="0"/>
          </rPr>
          <t>微软用户:</t>
        </r>
        <r>
          <rPr>
            <sz val="9"/>
            <rFont val="宋体"/>
            <family val="0"/>
          </rPr>
          <t xml:space="preserve">
胡根明</t>
        </r>
      </text>
    </comment>
    <comment ref="S8" authorId="0">
      <text>
        <r>
          <rPr>
            <b/>
            <sz val="9"/>
            <rFont val="宋体"/>
            <family val="0"/>
          </rPr>
          <t>微软用户:</t>
        </r>
        <r>
          <rPr>
            <sz val="9"/>
            <rFont val="宋体"/>
            <family val="0"/>
          </rPr>
          <t xml:space="preserve">
明城王怡玥：慈善手拉手助学2500元</t>
        </r>
      </text>
    </comment>
    <comment ref="AA8" authorId="0">
      <text>
        <r>
          <rPr>
            <b/>
            <sz val="9"/>
            <rFont val="宋体"/>
            <family val="0"/>
          </rPr>
          <t>微软用户:</t>
        </r>
        <r>
          <rPr>
            <sz val="9"/>
            <rFont val="宋体"/>
            <family val="0"/>
          </rPr>
          <t xml:space="preserve">
项目3人12000元，个案3人9000元</t>
        </r>
      </text>
    </comment>
    <comment ref="A8" authorId="0">
      <text>
        <r>
          <rPr>
            <b/>
            <sz val="9"/>
            <rFont val="宋体"/>
            <family val="0"/>
          </rPr>
          <t>微软用户:</t>
        </r>
        <r>
          <rPr>
            <sz val="9"/>
            <rFont val="宋体"/>
            <family val="0"/>
          </rPr>
          <t xml:space="preserve">
本月低保调整，从710元增加到790元，重残从930元增加到1030元。</t>
        </r>
      </text>
    </comment>
    <comment ref="AC9" authorId="0">
      <text>
        <r>
          <rPr>
            <b/>
            <sz val="9"/>
            <rFont val="宋体"/>
            <family val="0"/>
          </rPr>
          <t>微软用户:</t>
        </r>
        <r>
          <rPr>
            <sz val="9"/>
            <rFont val="宋体"/>
            <family val="0"/>
          </rPr>
          <t xml:space="preserve">
星二陈其宾</t>
        </r>
      </text>
    </comment>
    <comment ref="AC10" authorId="0">
      <text>
        <r>
          <rPr>
            <b/>
            <sz val="9"/>
            <rFont val="宋体"/>
            <family val="0"/>
          </rPr>
          <t>微软用户:</t>
        </r>
        <r>
          <rPr>
            <sz val="9"/>
            <rFont val="宋体"/>
            <family val="0"/>
          </rPr>
          <t xml:space="preserve">
明城庄勤娟6、7、8三月生活费补助</t>
        </r>
      </text>
    </comment>
    <comment ref="AC11" authorId="0">
      <text>
        <r>
          <rPr>
            <b/>
            <sz val="9"/>
            <rFont val="宋体"/>
            <family val="0"/>
          </rPr>
          <t>微软用户:</t>
        </r>
        <r>
          <rPr>
            <sz val="9"/>
            <rFont val="宋体"/>
            <family val="0"/>
          </rPr>
          <t xml:space="preserve">
洪卫刘宏泽500元，安徽外来刘涛涛100元。</t>
        </r>
      </text>
    </comment>
    <comment ref="AA11" authorId="0">
      <text>
        <r>
          <rPr>
            <b/>
            <sz val="9"/>
            <rFont val="宋体"/>
            <family val="0"/>
          </rPr>
          <t>微软用户:</t>
        </r>
        <r>
          <rPr>
            <sz val="9"/>
            <rFont val="宋体"/>
            <family val="0"/>
          </rPr>
          <t xml:space="preserve">
下放安徽2人1500*2=3000元，助老项目1人5000元，合计3人8000元。</t>
        </r>
      </text>
    </comment>
    <comment ref="S11" authorId="0">
      <text>
        <r>
          <rPr>
            <b/>
            <sz val="9"/>
            <rFont val="宋体"/>
            <family val="0"/>
          </rPr>
          <t>微软用户:</t>
        </r>
        <r>
          <rPr>
            <sz val="9"/>
            <rFont val="宋体"/>
            <family val="0"/>
          </rPr>
          <t xml:space="preserve">
星一张佳冰慈善手拉手2500元</t>
        </r>
      </text>
    </comment>
    <comment ref="Z12" authorId="0">
      <text>
        <r>
          <rPr>
            <b/>
            <sz val="9"/>
            <rFont val="宋体"/>
            <family val="0"/>
          </rPr>
          <t>微软用户:</t>
        </r>
        <r>
          <rPr>
            <sz val="9"/>
            <rFont val="宋体"/>
            <family val="0"/>
          </rPr>
          <t xml:space="preserve">
燎原颜文忠，3417元</t>
        </r>
      </text>
    </comment>
    <comment ref="S12" authorId="0">
      <text>
        <r>
          <rPr>
            <b/>
            <sz val="9"/>
            <rFont val="宋体"/>
            <family val="0"/>
          </rPr>
          <t>第一批高中：7+5=12
第一批高等21+6=27
合计39人，138500</t>
        </r>
      </text>
    </comment>
    <comment ref="AA12" authorId="0">
      <text>
        <r>
          <rPr>
            <b/>
            <sz val="9"/>
            <rFont val="宋体"/>
            <family val="0"/>
          </rPr>
          <t>微软用户:</t>
        </r>
        <r>
          <rPr>
            <sz val="9"/>
            <rFont val="宋体"/>
            <family val="0"/>
          </rPr>
          <t xml:space="preserve">
8个安徽下放，每人1500元，3个个案9000，合计21000</t>
        </r>
      </text>
    </comment>
    <comment ref="AC12" authorId="0">
      <text>
        <r>
          <rPr>
            <b/>
            <sz val="9"/>
            <rFont val="宋体"/>
            <family val="0"/>
          </rPr>
          <t>微软用户:</t>
        </r>
        <r>
          <rPr>
            <sz val="9"/>
            <rFont val="宋体"/>
            <family val="0"/>
          </rPr>
          <t xml:space="preserve">
“八一”优抚85人，每人500元，另2人，1300元</t>
        </r>
      </text>
    </comment>
    <comment ref="AC13" authorId="0">
      <text>
        <r>
          <rPr>
            <b/>
            <sz val="9"/>
            <rFont val="宋体"/>
            <family val="0"/>
          </rPr>
          <t>微软用户:</t>
        </r>
        <r>
          <rPr>
            <sz val="9"/>
            <rFont val="宋体"/>
            <family val="0"/>
          </rPr>
          <t xml:space="preserve">
明城庄勤娟1500元</t>
        </r>
      </text>
    </comment>
    <comment ref="S13" authorId="0">
      <text>
        <r>
          <rPr>
            <b/>
            <sz val="9"/>
            <rFont val="宋体"/>
            <family val="0"/>
          </rPr>
          <t>微软用户:</t>
        </r>
        <r>
          <rPr>
            <sz val="9"/>
            <rFont val="宋体"/>
            <family val="0"/>
          </rPr>
          <t xml:space="preserve">
助学券
</t>
        </r>
      </text>
    </comment>
    <comment ref="Z13" authorId="0">
      <text>
        <r>
          <rPr>
            <b/>
            <sz val="9"/>
            <rFont val="宋体"/>
            <family val="0"/>
          </rPr>
          <t>微软用户:</t>
        </r>
        <r>
          <rPr>
            <sz val="9"/>
            <rFont val="宋体"/>
            <family val="0"/>
          </rPr>
          <t xml:space="preserve">
使用慈善返还资金进行国庆节帮困30人13600元</t>
        </r>
      </text>
    </comment>
    <comment ref="Q13" authorId="0">
      <text>
        <r>
          <rPr>
            <b/>
            <sz val="9"/>
            <rFont val="宋体"/>
            <family val="0"/>
          </rPr>
          <t>微软用户:</t>
        </r>
        <r>
          <rPr>
            <sz val="9"/>
            <rFont val="宋体"/>
            <family val="0"/>
          </rPr>
          <t xml:space="preserve">
国庆帮困还有用慈善返还资金帮困30人13600元</t>
        </r>
      </text>
    </comment>
    <comment ref="U13" authorId="0">
      <text>
        <r>
          <rPr>
            <b/>
            <sz val="9"/>
            <rFont val="宋体"/>
            <family val="0"/>
          </rPr>
          <t>微软用户:</t>
        </r>
        <r>
          <rPr>
            <sz val="9"/>
            <rFont val="宋体"/>
            <family val="0"/>
          </rPr>
          <t xml:space="preserve">
国庆节日帮困用临补35600元，帮76人，用慈善返还资金我13600补30人</t>
        </r>
      </text>
    </comment>
    <comment ref="AC14" authorId="0">
      <text>
        <r>
          <rPr>
            <b/>
            <sz val="9"/>
            <rFont val="宋体"/>
            <family val="0"/>
          </rPr>
          <t>微软用户:</t>
        </r>
        <r>
          <rPr>
            <sz val="9"/>
            <rFont val="宋体"/>
            <family val="0"/>
          </rPr>
          <t xml:space="preserve">
星火一居马裕浦500朱恩造1500</t>
        </r>
      </text>
    </comment>
    <comment ref="O15" authorId="0">
      <text>
        <r>
          <rPr>
            <b/>
            <sz val="9"/>
            <rFont val="宋体"/>
            <family val="0"/>
          </rPr>
          <t>微软用户:</t>
        </r>
        <r>
          <rPr>
            <sz val="9"/>
            <rFont val="宋体"/>
            <family val="0"/>
          </rPr>
          <t xml:space="preserve">
刘金侠、周寿均</t>
        </r>
      </text>
    </comment>
    <comment ref="AC15" authorId="0">
      <text>
        <r>
          <rPr>
            <b/>
            <sz val="9"/>
            <rFont val="宋体"/>
            <family val="0"/>
          </rPr>
          <t>微软用户:</t>
        </r>
        <r>
          <rPr>
            <sz val="9"/>
            <rFont val="宋体"/>
            <family val="0"/>
          </rPr>
          <t xml:space="preserve">
五四倪美蓉1000，2015年度慢性病救助配套10人1893元
</t>
        </r>
      </text>
    </comment>
    <comment ref="Y15" authorId="0">
      <text>
        <r>
          <rPr>
            <b/>
            <sz val="9"/>
            <rFont val="宋体"/>
            <family val="0"/>
          </rPr>
          <t>微软用户:慢性病年度救助10人配套3791元</t>
        </r>
      </text>
    </comment>
    <comment ref="AF15" authorId="0">
      <text>
        <r>
          <rPr>
            <b/>
            <sz val="9"/>
            <rFont val="宋体"/>
            <family val="0"/>
          </rPr>
          <t>微软用户:</t>
        </r>
        <r>
          <rPr>
            <sz val="9"/>
            <rFont val="宋体"/>
            <family val="0"/>
          </rPr>
          <t xml:space="preserve">
2015年度慢性病区民政配套10人3791
</t>
        </r>
      </text>
    </comment>
    <comment ref="S15" authorId="0">
      <text>
        <r>
          <rPr>
            <b/>
            <sz val="9"/>
            <rFont val="宋体"/>
            <family val="0"/>
          </rPr>
          <t>微软用户:</t>
        </r>
        <r>
          <rPr>
            <sz val="9"/>
            <rFont val="宋体"/>
            <family val="0"/>
          </rPr>
          <t xml:space="preserve">
慈善手拉手五四瞿文杰1500元</t>
        </r>
      </text>
    </comment>
    <comment ref="AC16" authorId="0">
      <text>
        <r>
          <rPr>
            <b/>
            <sz val="9"/>
            <rFont val="宋体"/>
            <family val="0"/>
          </rPr>
          <t>微软用户:</t>
        </r>
        <r>
          <rPr>
            <sz val="9"/>
            <rFont val="宋体"/>
            <family val="0"/>
          </rPr>
          <t xml:space="preserve">
钱鹤葵10000</t>
        </r>
      </text>
    </comment>
    <comment ref="AB16" authorId="0">
      <text>
        <r>
          <rPr>
            <b/>
            <sz val="9"/>
            <rFont val="宋体"/>
            <family val="0"/>
          </rPr>
          <t>微软用户:</t>
        </r>
        <r>
          <rPr>
            <sz val="9"/>
            <rFont val="宋体"/>
            <family val="0"/>
          </rPr>
          <t xml:space="preserve">
1人项目3000，4人个案16000，10人安徽16500</t>
        </r>
      </text>
    </comment>
  </commentList>
</comments>
</file>

<file path=xl/comments5.xml><?xml version="1.0" encoding="utf-8"?>
<comments xmlns="http://schemas.openxmlformats.org/spreadsheetml/2006/main">
  <authors>
    <author>Administrator</author>
    <author>user</author>
  </authors>
  <commentList>
    <comment ref="AF4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 xml:space="preserve">节日帮困中对项目的重复计算部分，在合计中已减去。
</t>
        </r>
      </text>
    </comment>
    <comment ref="W4" authorId="1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安徽下放20人5900，帮困送温暖30人*3000，项目帮扶8人*3000，贤城有爱1人5000，高龄老人10人*5000，共计69人，174900元</t>
        </r>
      </text>
    </comment>
    <comment ref="Y4" authorId="1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残联80人*500，孤老、90岁以上148人*800，民政390人229600，团委4人2000，共计622人，400000元</t>
        </r>
      </text>
    </comment>
    <comment ref="Q4" authorId="1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低保批量285户218800元，特困人员19人、重残无业77人*1000元，大礼包377人113100元，因病支出1人800，共计474人，428700元</t>
        </r>
      </text>
    </comment>
  </commentList>
</comments>
</file>

<file path=xl/sharedStrings.xml><?xml version="1.0" encoding="utf-8"?>
<sst xmlns="http://schemas.openxmlformats.org/spreadsheetml/2006/main" count="294" uniqueCount="55">
  <si>
    <r>
      <t>2012</t>
    </r>
    <r>
      <rPr>
        <b/>
        <sz val="18"/>
        <rFont val="宋体"/>
        <family val="0"/>
      </rPr>
      <t>年海湾镇各类救助发放汇总表</t>
    </r>
  </si>
  <si>
    <r>
      <t>项目</t>
    </r>
    <r>
      <rPr>
        <sz val="9"/>
        <rFont val="Times New Roman"/>
        <family val="1"/>
      </rPr>
      <t xml:space="preserve">  </t>
    </r>
  </si>
  <si>
    <t>低保</t>
  </si>
  <si>
    <t>特殊救济</t>
  </si>
  <si>
    <t>重残无业</t>
  </si>
  <si>
    <t>粮油帮困</t>
  </si>
  <si>
    <t>大重病医疗救助</t>
  </si>
  <si>
    <t>临时困难补助</t>
  </si>
  <si>
    <t>孤儿生活费</t>
  </si>
  <si>
    <t>助学帮困</t>
  </si>
  <si>
    <t>节日帮困</t>
  </si>
  <si>
    <t>支内帮困</t>
  </si>
  <si>
    <t>其他</t>
  </si>
  <si>
    <t>综合帮扶</t>
  </si>
  <si>
    <t>慈善帮困</t>
  </si>
  <si>
    <t>月合计</t>
  </si>
  <si>
    <t>月份</t>
  </si>
  <si>
    <t>户数</t>
  </si>
  <si>
    <t>人数</t>
  </si>
  <si>
    <t>金额</t>
  </si>
  <si>
    <t>一月</t>
  </si>
  <si>
    <t>二月</t>
  </si>
  <si>
    <t>三月</t>
  </si>
  <si>
    <t>四月</t>
  </si>
  <si>
    <t>五月</t>
  </si>
  <si>
    <t>六月</t>
  </si>
  <si>
    <t>七月</t>
  </si>
  <si>
    <t>八月</t>
  </si>
  <si>
    <t>九月</t>
  </si>
  <si>
    <t>十月</t>
  </si>
  <si>
    <t>十一月</t>
  </si>
  <si>
    <t>十二月</t>
  </si>
  <si>
    <t>合计</t>
  </si>
  <si>
    <r>
      <t>2013</t>
    </r>
    <r>
      <rPr>
        <b/>
        <sz val="18"/>
        <rFont val="宋体"/>
        <family val="0"/>
      </rPr>
      <t>年海湾镇各类救助发放汇总表</t>
    </r>
  </si>
  <si>
    <r>
      <t>2014</t>
    </r>
    <r>
      <rPr>
        <b/>
        <sz val="18"/>
        <rFont val="宋体"/>
        <family val="0"/>
      </rPr>
      <t>年海湾镇各类救助发放汇总表</t>
    </r>
  </si>
  <si>
    <r>
      <t>2015</t>
    </r>
    <r>
      <rPr>
        <b/>
        <sz val="18"/>
        <rFont val="宋体"/>
        <family val="0"/>
      </rPr>
      <t>年海湾镇各类救助发放汇总表</t>
    </r>
  </si>
  <si>
    <r>
      <t>项目</t>
    </r>
    <r>
      <rPr>
        <sz val="8"/>
        <rFont val="Times New Roman"/>
        <family val="1"/>
      </rPr>
      <t xml:space="preserve">  </t>
    </r>
  </si>
  <si>
    <t>住院病医疗救助</t>
  </si>
  <si>
    <t>门诊病医疗救助</t>
  </si>
  <si>
    <t>因病至困生活救助</t>
  </si>
  <si>
    <t>镇帮困资金</t>
  </si>
  <si>
    <t>春节</t>
  </si>
  <si>
    <t>春节配套</t>
  </si>
  <si>
    <t>平时</t>
  </si>
  <si>
    <t>除配套外</t>
  </si>
  <si>
    <t>总</t>
  </si>
  <si>
    <r>
      <t>2022</t>
    </r>
    <r>
      <rPr>
        <b/>
        <sz val="24"/>
        <rFont val="宋体"/>
        <family val="0"/>
      </rPr>
      <t>年海湾镇</t>
    </r>
    <r>
      <rPr>
        <b/>
        <sz val="24"/>
        <rFont val="Times New Roman"/>
        <family val="1"/>
      </rPr>
      <t>1-2</t>
    </r>
    <r>
      <rPr>
        <b/>
        <sz val="24"/>
        <rFont val="宋体"/>
        <family val="0"/>
      </rPr>
      <t>月各类救助发放公示</t>
    </r>
  </si>
  <si>
    <r>
      <t>项目</t>
    </r>
    <r>
      <rPr>
        <sz val="10"/>
        <rFont val="Times New Roman"/>
        <family val="1"/>
      </rPr>
      <t xml:space="preserve">  </t>
    </r>
  </si>
  <si>
    <t>特困供养</t>
  </si>
  <si>
    <t>支出型贫困</t>
  </si>
  <si>
    <t>临时补助</t>
  </si>
  <si>
    <t>镇帮困</t>
  </si>
  <si>
    <t>困境儿童</t>
  </si>
  <si>
    <t>1954603</t>
  </si>
  <si>
    <t>718595.3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</si>
</sst>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58">
    <font>
      <sz val="12"/>
      <name val="宋体"/>
      <family val="0"/>
    </font>
    <font>
      <sz val="8"/>
      <name val="宋体"/>
      <family val="0"/>
    </font>
    <font>
      <sz val="11"/>
      <name val="宋体"/>
      <family val="0"/>
    </font>
    <font>
      <sz val="6"/>
      <name val="宋体"/>
      <family val="0"/>
    </font>
    <font>
      <b/>
      <sz val="24"/>
      <name val="Times New Roman"/>
      <family val="1"/>
    </font>
    <font>
      <sz val="10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b/>
      <sz val="18"/>
      <name val="Times New Roman"/>
      <family val="1"/>
    </font>
    <font>
      <b/>
      <sz val="6"/>
      <name val="宋体"/>
      <family val="0"/>
    </font>
    <font>
      <b/>
      <sz val="18"/>
      <name val="宋体"/>
      <family val="0"/>
    </font>
    <font>
      <sz val="6"/>
      <name val="Times New Roman"/>
      <family val="1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24"/>
      <name val="宋体"/>
      <family val="0"/>
    </font>
    <font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8"/>
      <name val="宋体"/>
      <family val="0"/>
    </font>
    <font>
      <sz val="9"/>
      <color indexed="10"/>
      <name val="宋体"/>
      <family val="0"/>
    </font>
    <font>
      <b/>
      <sz val="9"/>
      <name val="Tahoma"/>
      <family val="2"/>
    </font>
    <font>
      <sz val="9"/>
      <name val="Tahoma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9" fillId="2" borderId="0" applyNumberFormat="0" applyBorder="0" applyAlignment="0" applyProtection="0"/>
    <xf numFmtId="0" fontId="4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4" borderId="0" applyNumberFormat="0" applyBorder="0" applyAlignment="0" applyProtection="0"/>
    <xf numFmtId="0" fontId="41" fillId="5" borderId="0" applyNumberFormat="0" applyBorder="0" applyAlignment="0" applyProtection="0"/>
    <xf numFmtId="43" fontId="0" fillId="0" borderId="0" applyFont="0" applyFill="0" applyBorder="0" applyAlignment="0" applyProtection="0"/>
    <xf numFmtId="0" fontId="42" fillId="6" borderId="0" applyNumberFormat="0" applyBorder="0" applyAlignment="0" applyProtection="0"/>
    <xf numFmtId="0" fontId="4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42" fillId="8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42" fillId="9" borderId="0" applyNumberFormat="0" applyBorder="0" applyAlignment="0" applyProtection="0"/>
    <xf numFmtId="0" fontId="45" fillId="0" borderId="5" applyNumberFormat="0" applyFill="0" applyAlignment="0" applyProtection="0"/>
    <xf numFmtId="0" fontId="42" fillId="10" borderId="0" applyNumberFormat="0" applyBorder="0" applyAlignment="0" applyProtection="0"/>
    <xf numFmtId="0" fontId="51" fillId="11" borderId="6" applyNumberFormat="0" applyAlignment="0" applyProtection="0"/>
    <xf numFmtId="0" fontId="52" fillId="11" borderId="1" applyNumberFormat="0" applyAlignment="0" applyProtection="0"/>
    <xf numFmtId="0" fontId="53" fillId="12" borderId="7" applyNumberFormat="0" applyAlignment="0" applyProtection="0"/>
    <xf numFmtId="0" fontId="39" fillId="13" borderId="0" applyNumberFormat="0" applyBorder="0" applyAlignment="0" applyProtection="0"/>
    <xf numFmtId="0" fontId="42" fillId="14" borderId="0" applyNumberFormat="0" applyBorder="0" applyAlignment="0" applyProtection="0"/>
    <xf numFmtId="0" fontId="54" fillId="0" borderId="8" applyNumberFormat="0" applyFill="0" applyAlignment="0" applyProtection="0"/>
    <xf numFmtId="0" fontId="55" fillId="0" borderId="9" applyNumberFormat="0" applyFill="0" applyAlignment="0" applyProtection="0"/>
    <xf numFmtId="0" fontId="56" fillId="15" borderId="0" applyNumberFormat="0" applyBorder="0" applyAlignment="0" applyProtection="0"/>
    <xf numFmtId="0" fontId="57" fillId="16" borderId="0" applyNumberFormat="0" applyBorder="0" applyAlignment="0" applyProtection="0"/>
    <xf numFmtId="0" fontId="39" fillId="17" borderId="0" applyNumberFormat="0" applyBorder="0" applyAlignment="0" applyProtection="0"/>
    <xf numFmtId="0" fontId="42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42" fillId="27" borderId="0" applyNumberFormat="0" applyBorder="0" applyAlignment="0" applyProtection="0"/>
    <xf numFmtId="0" fontId="39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39" fillId="31" borderId="0" applyNumberFormat="0" applyBorder="0" applyAlignment="0" applyProtection="0"/>
    <xf numFmtId="0" fontId="42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 shrinkToFit="1"/>
    </xf>
    <xf numFmtId="0" fontId="1" fillId="0" borderId="0" xfId="0" applyFont="1" applyAlignment="1">
      <alignment wrapText="1" shrinkToFit="1"/>
    </xf>
    <xf numFmtId="0" fontId="1" fillId="0" borderId="0" xfId="0" applyFont="1" applyFill="1" applyAlignment="1">
      <alignment wrapText="1" shrinkToFi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 shrinkToFit="1"/>
    </xf>
    <xf numFmtId="0" fontId="6" fillId="0" borderId="11" xfId="0" applyFont="1" applyBorder="1" applyAlignment="1">
      <alignment horizontal="center" vertical="center" wrapText="1" shrinkToFit="1"/>
    </xf>
    <xf numFmtId="0" fontId="7" fillId="0" borderId="11" xfId="0" applyFont="1" applyBorder="1" applyAlignment="1">
      <alignment horizontal="center" vertical="center" wrapText="1" shrinkToFit="1"/>
    </xf>
    <xf numFmtId="0" fontId="6" fillId="0" borderId="11" xfId="0" applyFont="1" applyFill="1" applyBorder="1" applyAlignment="1">
      <alignment horizontal="center" vertical="center" wrapText="1" shrinkToFi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7" fillId="0" borderId="11" xfId="25" applyNumberFormat="1" applyFont="1" applyBorder="1" applyAlignment="1">
      <alignment horizontal="center" vertical="center" wrapText="1" shrinkToFit="1"/>
    </xf>
    <xf numFmtId="0" fontId="1" fillId="0" borderId="0" xfId="0" applyFont="1" applyBorder="1" applyAlignment="1">
      <alignment horizontal="center" vertical="center" shrinkToFit="1"/>
    </xf>
    <xf numFmtId="0" fontId="3" fillId="0" borderId="0" xfId="0" applyFont="1" applyAlignment="1">
      <alignment horizontal="center"/>
    </xf>
    <xf numFmtId="0" fontId="6" fillId="0" borderId="12" xfId="0" applyFont="1" applyBorder="1" applyAlignment="1">
      <alignment horizontal="center" vertical="center" wrapText="1" shrinkToFit="1"/>
    </xf>
    <xf numFmtId="0" fontId="6" fillId="0" borderId="13" xfId="0" applyFont="1" applyBorder="1" applyAlignment="1">
      <alignment horizontal="center" vertical="center" wrapText="1" shrinkToFit="1"/>
    </xf>
    <xf numFmtId="0" fontId="6" fillId="0" borderId="14" xfId="0" applyFont="1" applyBorder="1" applyAlignment="1">
      <alignment horizontal="center" vertical="center" wrapText="1" shrinkToFit="1"/>
    </xf>
    <xf numFmtId="49" fontId="7" fillId="0" borderId="11" xfId="0" applyNumberFormat="1" applyFont="1" applyBorder="1" applyAlignment="1">
      <alignment horizontal="center" vertical="center" wrapText="1" shrinkToFit="1"/>
    </xf>
    <xf numFmtId="0" fontId="8" fillId="0" borderId="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" fillId="0" borderId="15" xfId="0" applyFont="1" applyBorder="1" applyAlignment="1">
      <alignment horizontal="right" vertical="center" shrinkToFit="1"/>
    </xf>
    <xf numFmtId="0" fontId="1" fillId="0" borderId="16" xfId="0" applyFont="1" applyBorder="1" applyAlignment="1">
      <alignment horizontal="center" vertical="center" shrinkToFit="1"/>
    </xf>
    <xf numFmtId="0" fontId="1" fillId="0" borderId="17" xfId="0" applyFont="1" applyBorder="1" applyAlignment="1">
      <alignment horizontal="center" vertical="center" shrinkToFit="1"/>
    </xf>
    <xf numFmtId="0" fontId="1" fillId="0" borderId="18" xfId="0" applyFont="1" applyBorder="1" applyAlignment="1">
      <alignment horizontal="center" vertical="center" shrinkToFit="1"/>
    </xf>
    <xf numFmtId="0" fontId="1" fillId="0" borderId="11" xfId="0" applyFont="1" applyBorder="1" applyAlignment="1">
      <alignment horizontal="center" vertical="center" shrinkToFit="1"/>
    </xf>
    <xf numFmtId="0" fontId="1" fillId="0" borderId="19" xfId="0" applyFont="1" applyBorder="1" applyAlignment="1">
      <alignment horizontal="left" vertical="center" shrinkToFit="1"/>
    </xf>
    <xf numFmtId="0" fontId="1" fillId="0" borderId="11" xfId="0" applyFont="1" applyBorder="1" applyAlignment="1">
      <alignment horizontal="left" vertical="center" shrinkToFit="1"/>
    </xf>
    <xf numFmtId="0" fontId="1" fillId="0" borderId="12" xfId="0" applyFont="1" applyBorder="1" applyAlignment="1">
      <alignment horizontal="center" vertical="center" shrinkToFit="1"/>
    </xf>
    <xf numFmtId="0" fontId="1" fillId="0" borderId="14" xfId="0" applyFont="1" applyBorder="1" applyAlignment="1">
      <alignment horizontal="center" vertical="center" shrinkToFit="1"/>
    </xf>
    <xf numFmtId="0" fontId="1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11" xfId="0" applyFont="1" applyFill="1" applyBorder="1" applyAlignment="1">
      <alignment horizontal="center" vertical="center"/>
    </xf>
    <xf numFmtId="0" fontId="1" fillId="0" borderId="11" xfId="0" applyFont="1" applyBorder="1" applyAlignment="1">
      <alignment vertical="center" shrinkToFit="1"/>
    </xf>
    <xf numFmtId="0" fontId="7" fillId="0" borderId="0" xfId="0" applyFont="1" applyAlignment="1">
      <alignment/>
    </xf>
    <xf numFmtId="0" fontId="11" fillId="0" borderId="0" xfId="0" applyFont="1" applyAlignment="1">
      <alignment/>
    </xf>
    <xf numFmtId="0" fontId="1" fillId="0" borderId="11" xfId="0" applyFont="1" applyBorder="1" applyAlignment="1">
      <alignment shrinkToFit="1"/>
    </xf>
    <xf numFmtId="176" fontId="1" fillId="0" borderId="11" xfId="0" applyNumberFormat="1" applyFont="1" applyBorder="1" applyAlignment="1">
      <alignment horizontal="center" vertical="center" shrinkToFit="1"/>
    </xf>
    <xf numFmtId="0" fontId="7" fillId="0" borderId="0" xfId="0" applyFont="1" applyAlignment="1">
      <alignment shrinkToFit="1"/>
    </xf>
    <xf numFmtId="0" fontId="7" fillId="0" borderId="15" xfId="0" applyFont="1" applyBorder="1" applyAlignment="1">
      <alignment horizontal="right" vertical="center" shrinkToFit="1"/>
    </xf>
    <xf numFmtId="0" fontId="7" fillId="0" borderId="16" xfId="0" applyFont="1" applyBorder="1" applyAlignment="1">
      <alignment horizontal="center" vertical="center" shrinkToFit="1"/>
    </xf>
    <xf numFmtId="0" fontId="7" fillId="0" borderId="17" xfId="0" applyFont="1" applyBorder="1" applyAlignment="1">
      <alignment horizontal="center" vertical="center" shrinkToFit="1"/>
    </xf>
    <xf numFmtId="0" fontId="7" fillId="0" borderId="18" xfId="0" applyFont="1" applyBorder="1" applyAlignment="1">
      <alignment horizontal="center" vertical="center" shrinkToFit="1"/>
    </xf>
    <xf numFmtId="0" fontId="7" fillId="0" borderId="11" xfId="0" applyFont="1" applyBorder="1" applyAlignment="1">
      <alignment horizontal="center" vertical="center" shrinkToFit="1"/>
    </xf>
    <xf numFmtId="0" fontId="7" fillId="0" borderId="19" xfId="0" applyFont="1" applyBorder="1" applyAlignment="1">
      <alignment horizontal="left" vertical="center" shrinkToFit="1"/>
    </xf>
    <xf numFmtId="0" fontId="7" fillId="0" borderId="11" xfId="0" applyFont="1" applyBorder="1" applyAlignment="1">
      <alignment horizontal="left" vertical="center" shrinkToFit="1"/>
    </xf>
    <xf numFmtId="0" fontId="5" fillId="0" borderId="11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 shrinkToFit="1"/>
    </xf>
    <xf numFmtId="0" fontId="7" fillId="0" borderId="12" xfId="0" applyFont="1" applyBorder="1" applyAlignment="1">
      <alignment horizontal="center" vertical="center" shrinkToFit="1"/>
    </xf>
    <xf numFmtId="0" fontId="7" fillId="0" borderId="14" xfId="0" applyFont="1" applyBorder="1" applyAlignment="1">
      <alignment horizontal="center" vertical="center" shrinkToFi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190500</xdr:rowOff>
    </xdr:from>
    <xdr:to>
      <xdr:col>1</xdr:col>
      <xdr:colOff>0</xdr:colOff>
      <xdr:row>4</xdr:row>
      <xdr:rowOff>19050</xdr:rowOff>
    </xdr:to>
    <xdr:sp>
      <xdr:nvSpPr>
        <xdr:cNvPr id="1" name="Line 62"/>
        <xdr:cNvSpPr>
          <a:spLocks/>
        </xdr:cNvSpPr>
      </xdr:nvSpPr>
      <xdr:spPr>
        <a:xfrm>
          <a:off x="9525" y="666750"/>
          <a:ext cx="323850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190500</xdr:rowOff>
    </xdr:from>
    <xdr:to>
      <xdr:col>1</xdr:col>
      <xdr:colOff>0</xdr:colOff>
      <xdr:row>4</xdr:row>
      <xdr:rowOff>19050</xdr:rowOff>
    </xdr:to>
    <xdr:sp>
      <xdr:nvSpPr>
        <xdr:cNvPr id="1" name="Line 23"/>
        <xdr:cNvSpPr>
          <a:spLocks/>
        </xdr:cNvSpPr>
      </xdr:nvSpPr>
      <xdr:spPr>
        <a:xfrm>
          <a:off x="9525" y="666750"/>
          <a:ext cx="323850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190500</xdr:rowOff>
    </xdr:from>
    <xdr:to>
      <xdr:col>1</xdr:col>
      <xdr:colOff>0</xdr:colOff>
      <xdr:row>4</xdr:row>
      <xdr:rowOff>19050</xdr:rowOff>
    </xdr:to>
    <xdr:sp>
      <xdr:nvSpPr>
        <xdr:cNvPr id="1" name="Line 29"/>
        <xdr:cNvSpPr>
          <a:spLocks/>
        </xdr:cNvSpPr>
      </xdr:nvSpPr>
      <xdr:spPr>
        <a:xfrm>
          <a:off x="9525" y="666750"/>
          <a:ext cx="323850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190500</xdr:rowOff>
    </xdr:from>
    <xdr:to>
      <xdr:col>1</xdr:col>
      <xdr:colOff>0</xdr:colOff>
      <xdr:row>4</xdr:row>
      <xdr:rowOff>19050</xdr:rowOff>
    </xdr:to>
    <xdr:sp>
      <xdr:nvSpPr>
        <xdr:cNvPr id="1" name="Line 52"/>
        <xdr:cNvSpPr>
          <a:spLocks/>
        </xdr:cNvSpPr>
      </xdr:nvSpPr>
      <xdr:spPr>
        <a:xfrm>
          <a:off x="9525" y="666750"/>
          <a:ext cx="29527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0</xdr:rowOff>
    </xdr:from>
    <xdr:to>
      <xdr:col>1</xdr:col>
      <xdr:colOff>0</xdr:colOff>
      <xdr:row>3</xdr:row>
      <xdr:rowOff>19050</xdr:rowOff>
    </xdr:to>
    <xdr:sp>
      <xdr:nvSpPr>
        <xdr:cNvPr id="1" name="Line 42"/>
        <xdr:cNvSpPr>
          <a:spLocks/>
        </xdr:cNvSpPr>
      </xdr:nvSpPr>
      <xdr:spPr>
        <a:xfrm>
          <a:off x="9525" y="561975"/>
          <a:ext cx="476250" cy="666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40"/>
  <sheetViews>
    <sheetView zoomScale="130" zoomScaleNormal="130" workbookViewId="0" topLeftCell="K1">
      <pane ySplit="4" topLeftCell="A14" activePane="bottomLeft" state="frozen"/>
      <selection pane="bottomLeft" activeCell="R6" sqref="R6"/>
    </sheetView>
  </sheetViews>
  <sheetFormatPr defaultColWidth="9.00390625" defaultRowHeight="14.25"/>
  <cols>
    <col min="1" max="1" width="4.375" style="0" customWidth="1"/>
    <col min="2" max="2" width="3.50390625" style="0" customWidth="1"/>
    <col min="3" max="3" width="3.50390625" style="5" customWidth="1"/>
    <col min="4" max="4" width="5.50390625" style="5" customWidth="1"/>
    <col min="5" max="5" width="3.00390625" style="0" customWidth="1"/>
    <col min="6" max="6" width="5.00390625" style="0" customWidth="1"/>
    <col min="7" max="7" width="3.625" style="0" customWidth="1"/>
    <col min="8" max="8" width="7.00390625" style="0" customWidth="1"/>
    <col min="9" max="9" width="3.375" style="0" customWidth="1"/>
    <col min="10" max="10" width="5.125" style="0" customWidth="1"/>
    <col min="11" max="11" width="2.875" style="0" customWidth="1"/>
    <col min="12" max="12" width="5.75390625" style="0" customWidth="1"/>
    <col min="13" max="13" width="3.625" style="0" customWidth="1"/>
    <col min="14" max="14" width="5.50390625" style="0" customWidth="1"/>
    <col min="15" max="15" width="2.25390625" style="0" customWidth="1"/>
    <col min="16" max="16" width="3.875" style="0" customWidth="1"/>
    <col min="17" max="17" width="3.375" style="0" customWidth="1"/>
    <col min="18" max="18" width="5.625" style="0" customWidth="1"/>
    <col min="19" max="19" width="3.875" style="0" customWidth="1"/>
    <col min="20" max="20" width="4.875" style="0" customWidth="1"/>
    <col min="21" max="21" width="3.25390625" style="0" customWidth="1"/>
    <col min="22" max="22" width="5.50390625" style="0" customWidth="1"/>
    <col min="23" max="23" width="3.375" style="5" customWidth="1"/>
    <col min="24" max="24" width="6.125" style="0" customWidth="1"/>
    <col min="25" max="25" width="3.00390625" style="0" customWidth="1"/>
    <col min="26" max="26" width="4.625" style="0" customWidth="1"/>
    <col min="27" max="27" width="3.125" style="0" customWidth="1"/>
    <col min="28" max="28" width="5.375" style="0" customWidth="1"/>
    <col min="29" max="29" width="5.875" style="0" customWidth="1"/>
    <col min="30" max="30" width="6.375" style="0" customWidth="1"/>
  </cols>
  <sheetData>
    <row r="1" spans="1:30" ht="37.5" customHeight="1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</row>
    <row r="2" spans="1:20" ht="15.75" customHeight="1">
      <c r="A2" s="20"/>
      <c r="B2" s="20"/>
      <c r="C2" s="21"/>
      <c r="D2" s="21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</row>
    <row r="3" spans="1:30" s="40" customFormat="1" ht="23.25" customHeight="1">
      <c r="A3" s="41" t="s">
        <v>1</v>
      </c>
      <c r="B3" s="42" t="s">
        <v>2</v>
      </c>
      <c r="C3" s="43"/>
      <c r="D3" s="44"/>
      <c r="E3" s="45" t="s">
        <v>3</v>
      </c>
      <c r="F3" s="45"/>
      <c r="G3" s="45" t="s">
        <v>4</v>
      </c>
      <c r="H3" s="45"/>
      <c r="I3" s="45" t="s">
        <v>5</v>
      </c>
      <c r="J3" s="45"/>
      <c r="K3" s="45" t="s">
        <v>6</v>
      </c>
      <c r="L3" s="45"/>
      <c r="M3" s="45" t="s">
        <v>7</v>
      </c>
      <c r="N3" s="45"/>
      <c r="O3" s="50" t="s">
        <v>8</v>
      </c>
      <c r="P3" s="51"/>
      <c r="Q3" s="45" t="s">
        <v>9</v>
      </c>
      <c r="R3" s="45"/>
      <c r="S3" s="45" t="s">
        <v>10</v>
      </c>
      <c r="T3" s="45"/>
      <c r="U3" s="45" t="s">
        <v>11</v>
      </c>
      <c r="V3" s="45"/>
      <c r="W3" s="50" t="s">
        <v>12</v>
      </c>
      <c r="X3" s="51"/>
      <c r="Y3" s="50" t="s">
        <v>13</v>
      </c>
      <c r="Z3" s="51"/>
      <c r="AA3" s="50" t="s">
        <v>14</v>
      </c>
      <c r="AB3" s="51"/>
      <c r="AC3" s="45" t="s">
        <v>15</v>
      </c>
      <c r="AD3" s="45"/>
    </row>
    <row r="4" spans="1:30" s="40" customFormat="1" ht="23.25" customHeight="1">
      <c r="A4" s="46" t="s">
        <v>16</v>
      </c>
      <c r="B4" s="47" t="s">
        <v>17</v>
      </c>
      <c r="C4" s="45" t="s">
        <v>18</v>
      </c>
      <c r="D4" s="45" t="s">
        <v>19</v>
      </c>
      <c r="E4" s="45" t="s">
        <v>18</v>
      </c>
      <c r="F4" s="45" t="s">
        <v>19</v>
      </c>
      <c r="G4" s="45" t="s">
        <v>18</v>
      </c>
      <c r="H4" s="45" t="s">
        <v>19</v>
      </c>
      <c r="I4" s="45" t="s">
        <v>18</v>
      </c>
      <c r="J4" s="45" t="s">
        <v>19</v>
      </c>
      <c r="K4" s="45" t="s">
        <v>18</v>
      </c>
      <c r="L4" s="45" t="s">
        <v>19</v>
      </c>
      <c r="M4" s="45" t="s">
        <v>18</v>
      </c>
      <c r="N4" s="45" t="s">
        <v>19</v>
      </c>
      <c r="O4" s="45" t="s">
        <v>18</v>
      </c>
      <c r="P4" s="45" t="s">
        <v>19</v>
      </c>
      <c r="Q4" s="45" t="s">
        <v>18</v>
      </c>
      <c r="R4" s="45" t="s">
        <v>19</v>
      </c>
      <c r="S4" s="45" t="s">
        <v>18</v>
      </c>
      <c r="T4" s="45" t="s">
        <v>19</v>
      </c>
      <c r="U4" s="45" t="s">
        <v>18</v>
      </c>
      <c r="V4" s="45" t="s">
        <v>19</v>
      </c>
      <c r="W4" s="45" t="s">
        <v>18</v>
      </c>
      <c r="X4" s="45" t="s">
        <v>19</v>
      </c>
      <c r="Y4" s="45" t="s">
        <v>18</v>
      </c>
      <c r="Z4" s="45" t="s">
        <v>19</v>
      </c>
      <c r="AA4" s="45" t="s">
        <v>18</v>
      </c>
      <c r="AB4" s="45" t="s">
        <v>19</v>
      </c>
      <c r="AC4" s="45" t="s">
        <v>18</v>
      </c>
      <c r="AD4" s="45" t="s">
        <v>19</v>
      </c>
    </row>
    <row r="5" spans="1:30" s="1" customFormat="1" ht="26.25" customHeight="1">
      <c r="A5" s="27" t="s">
        <v>20</v>
      </c>
      <c r="B5" s="27">
        <v>437</v>
      </c>
      <c r="C5" s="27">
        <v>756</v>
      </c>
      <c r="D5" s="27">
        <v>280525</v>
      </c>
      <c r="E5" s="27">
        <v>2</v>
      </c>
      <c r="F5" s="27">
        <f>1484</f>
        <v>1484</v>
      </c>
      <c r="G5" s="27">
        <v>56</v>
      </c>
      <c r="H5" s="27">
        <f>36792+1680</f>
        <v>38472</v>
      </c>
      <c r="I5" s="27">
        <f>194+19</f>
        <v>213</v>
      </c>
      <c r="J5" s="27">
        <f>194*65+19*22</f>
        <v>13028</v>
      </c>
      <c r="K5" s="27">
        <v>3</v>
      </c>
      <c r="L5" s="27">
        <v>4120</v>
      </c>
      <c r="M5" s="27">
        <f>448+224+300</f>
        <v>972</v>
      </c>
      <c r="N5" s="27">
        <f>89600+89600+30000</f>
        <v>209200</v>
      </c>
      <c r="O5" s="27">
        <v>1</v>
      </c>
      <c r="P5" s="27">
        <v>1400</v>
      </c>
      <c r="Q5" s="27">
        <v>75</v>
      </c>
      <c r="R5" s="27">
        <f>75*110*5</f>
        <v>41250</v>
      </c>
      <c r="S5" s="27">
        <f>3950-300-224-448-13</f>
        <v>2965</v>
      </c>
      <c r="T5" s="27">
        <f>1087900-209200-35000-45000-60000</f>
        <v>738700</v>
      </c>
      <c r="U5" s="27"/>
      <c r="V5" s="27"/>
      <c r="W5" s="27">
        <v>1</v>
      </c>
      <c r="X5" s="27">
        <v>1000</v>
      </c>
      <c r="Y5" s="27">
        <v>13</v>
      </c>
      <c r="Z5" s="27">
        <v>35000</v>
      </c>
      <c r="AA5" s="27">
        <f>2+300+45</f>
        <v>347</v>
      </c>
      <c r="AB5" s="27">
        <f>4000+45000+60000</f>
        <v>109000</v>
      </c>
      <c r="AC5" s="27">
        <f>C5+E5+G5+I5+K5+M5+O5+Q5+S5+U5+W5+Y5+AA5</f>
        <v>5404</v>
      </c>
      <c r="AD5" s="27">
        <f>D5+F5+H5+J5+L5+N5+P5+R5+T5+V5+X5+Z5+AB5</f>
        <v>1473179</v>
      </c>
    </row>
    <row r="6" spans="1:30" s="1" customFormat="1" ht="26.25" customHeight="1">
      <c r="A6" s="27" t="s">
        <v>21</v>
      </c>
      <c r="B6" s="27">
        <v>436</v>
      </c>
      <c r="C6" s="27">
        <v>756</v>
      </c>
      <c r="D6" s="27">
        <v>280492</v>
      </c>
      <c r="E6" s="27">
        <v>2</v>
      </c>
      <c r="F6" s="27">
        <v>1484</v>
      </c>
      <c r="G6" s="27">
        <v>56</v>
      </c>
      <c r="H6" s="27">
        <f>56*657+56*30</f>
        <v>38472</v>
      </c>
      <c r="I6" s="27">
        <f>195+18</f>
        <v>213</v>
      </c>
      <c r="J6" s="27">
        <f>195*65+18*22</f>
        <v>13071</v>
      </c>
      <c r="K6" s="27">
        <v>2</v>
      </c>
      <c r="L6" s="27">
        <f>1640+800</f>
        <v>2440</v>
      </c>
      <c r="M6" s="27">
        <v>53</v>
      </c>
      <c r="N6" s="27">
        <v>16200</v>
      </c>
      <c r="O6" s="27">
        <v>1</v>
      </c>
      <c r="P6" s="27">
        <v>1400</v>
      </c>
      <c r="Q6" s="27"/>
      <c r="R6" s="27"/>
      <c r="S6" s="27"/>
      <c r="T6" s="27"/>
      <c r="U6" s="27">
        <v>122</v>
      </c>
      <c r="V6" s="27">
        <f>122*200</f>
        <v>24400</v>
      </c>
      <c r="W6" s="27">
        <v>1</v>
      </c>
      <c r="X6" s="27">
        <v>970</v>
      </c>
      <c r="Y6" s="27">
        <v>1</v>
      </c>
      <c r="Z6" s="27">
        <v>5000</v>
      </c>
      <c r="AA6" s="27"/>
      <c r="AB6" s="27"/>
      <c r="AC6" s="27">
        <f aca="true" t="shared" si="0" ref="AC6:AC16">C6+E6+G6+I6+K6+M6+O6+Q6+S6+U6+W6+Y6+AA6</f>
        <v>1207</v>
      </c>
      <c r="AD6" s="27">
        <f>D6+F6+H6+J6+L6+N6+P6+R6+T6+V6+X6+Z6+AB6</f>
        <v>383929</v>
      </c>
    </row>
    <row r="7" spans="1:30" s="1" customFormat="1" ht="26.25" customHeight="1">
      <c r="A7" s="27" t="s">
        <v>22</v>
      </c>
      <c r="B7" s="27">
        <v>438</v>
      </c>
      <c r="C7" s="27">
        <v>753</v>
      </c>
      <c r="D7" s="27">
        <v>280902</v>
      </c>
      <c r="E7" s="27">
        <v>2</v>
      </c>
      <c r="F7" s="27">
        <v>1484</v>
      </c>
      <c r="G7" s="27">
        <v>56</v>
      </c>
      <c r="H7" s="27">
        <f>56*657+56*30</f>
        <v>38472</v>
      </c>
      <c r="I7" s="27">
        <f>197+18</f>
        <v>215</v>
      </c>
      <c r="J7" s="27">
        <f>197*65+18*22</f>
        <v>13201</v>
      </c>
      <c r="K7" s="27">
        <v>2</v>
      </c>
      <c r="L7" s="27">
        <v>1740</v>
      </c>
      <c r="M7" s="27">
        <v>47</v>
      </c>
      <c r="N7" s="27">
        <v>18100</v>
      </c>
      <c r="O7" s="27">
        <v>1</v>
      </c>
      <c r="P7" s="27">
        <v>1400</v>
      </c>
      <c r="Q7" s="27">
        <v>2</v>
      </c>
      <c r="R7" s="27">
        <v>5000</v>
      </c>
      <c r="S7" s="27"/>
      <c r="T7" s="27"/>
      <c r="U7" s="27">
        <v>122</v>
      </c>
      <c r="V7" s="27">
        <v>70563</v>
      </c>
      <c r="W7" s="27">
        <f>3+184+114</f>
        <v>301</v>
      </c>
      <c r="X7" s="27">
        <f>3000+15560+24982.88</f>
        <v>43542.880000000005</v>
      </c>
      <c r="Y7" s="27"/>
      <c r="Z7" s="27"/>
      <c r="AA7" s="27">
        <v>1</v>
      </c>
      <c r="AB7" s="27">
        <v>5000</v>
      </c>
      <c r="AC7" s="27">
        <f t="shared" si="0"/>
        <v>1502</v>
      </c>
      <c r="AD7" s="27">
        <f aca="true" t="shared" si="1" ref="AD7:AD16">D7+F7+H7+J7+L7+N7+P7+R7+T7+V7+X7+Z7+AB7</f>
        <v>479404.88</v>
      </c>
    </row>
    <row r="8" spans="1:30" s="1" customFormat="1" ht="26.25" customHeight="1">
      <c r="A8" s="27" t="s">
        <v>23</v>
      </c>
      <c r="B8" s="27">
        <v>404</v>
      </c>
      <c r="C8" s="27">
        <v>679</v>
      </c>
      <c r="D8" s="27">
        <v>293032</v>
      </c>
      <c r="E8" s="27">
        <v>2</v>
      </c>
      <c r="F8" s="27">
        <v>1676</v>
      </c>
      <c r="G8" s="27">
        <v>55</v>
      </c>
      <c r="H8" s="27">
        <f>55*741+55*30</f>
        <v>42405</v>
      </c>
      <c r="I8" s="27">
        <f>181+20</f>
        <v>201</v>
      </c>
      <c r="J8" s="27">
        <f>181*65+20*22</f>
        <v>12205</v>
      </c>
      <c r="K8" s="27">
        <v>5</v>
      </c>
      <c r="L8" s="27">
        <v>12300</v>
      </c>
      <c r="M8" s="27">
        <v>105</v>
      </c>
      <c r="N8" s="27">
        <v>33600</v>
      </c>
      <c r="O8" s="27">
        <v>1</v>
      </c>
      <c r="P8" s="27">
        <v>1400</v>
      </c>
      <c r="Q8" s="27"/>
      <c r="R8" s="27"/>
      <c r="S8" s="27"/>
      <c r="T8" s="27"/>
      <c r="U8" s="27"/>
      <c r="V8" s="27"/>
      <c r="W8" s="27">
        <v>3</v>
      </c>
      <c r="X8" s="27">
        <f>1000+1200+1000</f>
        <v>3200</v>
      </c>
      <c r="Y8" s="27">
        <v>1</v>
      </c>
      <c r="Z8" s="27">
        <v>3500</v>
      </c>
      <c r="AA8" s="27">
        <v>1</v>
      </c>
      <c r="AB8" s="27">
        <v>2666</v>
      </c>
      <c r="AC8" s="27">
        <f t="shared" si="0"/>
        <v>1053</v>
      </c>
      <c r="AD8" s="27">
        <f t="shared" si="1"/>
        <v>405984</v>
      </c>
    </row>
    <row r="9" spans="1:30" s="1" customFormat="1" ht="26.25" customHeight="1">
      <c r="A9" s="27" t="s">
        <v>24</v>
      </c>
      <c r="B9" s="27">
        <v>408</v>
      </c>
      <c r="C9" s="27">
        <v>687</v>
      </c>
      <c r="D9" s="27">
        <v>295503</v>
      </c>
      <c r="E9" s="27">
        <v>2</v>
      </c>
      <c r="F9" s="27">
        <v>1676</v>
      </c>
      <c r="G9" s="27">
        <v>55</v>
      </c>
      <c r="H9" s="27">
        <f>55*741+55*30</f>
        <v>42405</v>
      </c>
      <c r="I9" s="27">
        <f>185+20</f>
        <v>205</v>
      </c>
      <c r="J9" s="27">
        <f>185*65+20*22</f>
        <v>12465</v>
      </c>
      <c r="K9" s="27">
        <v>4</v>
      </c>
      <c r="L9" s="27">
        <v>7200</v>
      </c>
      <c r="M9" s="27">
        <v>53</v>
      </c>
      <c r="N9" s="27">
        <v>18800</v>
      </c>
      <c r="O9" s="27">
        <v>1</v>
      </c>
      <c r="P9" s="27">
        <v>1400</v>
      </c>
      <c r="Q9" s="27"/>
      <c r="R9" s="35"/>
      <c r="S9" s="35"/>
      <c r="T9" s="35"/>
      <c r="U9" s="27"/>
      <c r="V9" s="27"/>
      <c r="W9" s="27">
        <v>1</v>
      </c>
      <c r="X9" s="27">
        <v>1000</v>
      </c>
      <c r="Y9" s="27">
        <v>1</v>
      </c>
      <c r="Z9" s="27">
        <v>3000</v>
      </c>
      <c r="AA9" s="27"/>
      <c r="AB9" s="27"/>
      <c r="AC9" s="27">
        <f t="shared" si="0"/>
        <v>1009</v>
      </c>
      <c r="AD9" s="27">
        <f t="shared" si="1"/>
        <v>383449</v>
      </c>
    </row>
    <row r="10" spans="1:30" s="1" customFormat="1" ht="26.25" customHeight="1">
      <c r="A10" s="27" t="s">
        <v>25</v>
      </c>
      <c r="B10" s="27">
        <v>406</v>
      </c>
      <c r="C10" s="27">
        <v>685</v>
      </c>
      <c r="D10" s="27">
        <v>294363</v>
      </c>
      <c r="E10" s="27">
        <v>2</v>
      </c>
      <c r="F10" s="27">
        <v>1676</v>
      </c>
      <c r="G10" s="27">
        <v>55</v>
      </c>
      <c r="H10" s="27">
        <f>55*741+55*30</f>
        <v>42405</v>
      </c>
      <c r="I10" s="27">
        <f>185+20</f>
        <v>205</v>
      </c>
      <c r="J10" s="27">
        <f>185*65+20*22</f>
        <v>12465</v>
      </c>
      <c r="K10" s="27">
        <v>5</v>
      </c>
      <c r="L10" s="27">
        <v>10900</v>
      </c>
      <c r="M10" s="27">
        <v>58</v>
      </c>
      <c r="N10" s="27">
        <v>20700</v>
      </c>
      <c r="O10" s="27">
        <v>1</v>
      </c>
      <c r="P10" s="27">
        <v>1400</v>
      </c>
      <c r="Q10" s="27"/>
      <c r="R10" s="27"/>
      <c r="S10" s="27"/>
      <c r="T10" s="27"/>
      <c r="U10" s="27">
        <v>127</v>
      </c>
      <c r="V10" s="27">
        <v>46764</v>
      </c>
      <c r="W10" s="27">
        <v>2</v>
      </c>
      <c r="X10" s="27">
        <f>3926+1000</f>
        <v>4926</v>
      </c>
      <c r="Y10" s="27">
        <v>2</v>
      </c>
      <c r="Z10" s="27">
        <v>6000</v>
      </c>
      <c r="AA10" s="27"/>
      <c r="AB10" s="27"/>
      <c r="AC10" s="27">
        <f t="shared" si="0"/>
        <v>1142</v>
      </c>
      <c r="AD10" s="27">
        <f t="shared" si="1"/>
        <v>441599</v>
      </c>
    </row>
    <row r="11" spans="1:30" s="1" customFormat="1" ht="26.25" customHeight="1">
      <c r="A11" s="27" t="s">
        <v>26</v>
      </c>
      <c r="B11" s="27">
        <v>399</v>
      </c>
      <c r="C11" s="27">
        <v>666</v>
      </c>
      <c r="D11" s="27">
        <v>294463</v>
      </c>
      <c r="E11" s="27">
        <v>2</v>
      </c>
      <c r="F11" s="27">
        <v>1676</v>
      </c>
      <c r="G11" s="27">
        <v>56</v>
      </c>
      <c r="H11" s="27">
        <f>41496+56*30</f>
        <v>43176</v>
      </c>
      <c r="I11" s="27">
        <f>187+19</f>
        <v>206</v>
      </c>
      <c r="J11" s="27">
        <f>187*65+19*22</f>
        <v>12573</v>
      </c>
      <c r="K11" s="27">
        <v>3</v>
      </c>
      <c r="L11" s="27">
        <v>40420</v>
      </c>
      <c r="M11" s="27">
        <v>48</v>
      </c>
      <c r="N11" s="27">
        <v>17370</v>
      </c>
      <c r="O11" s="27">
        <v>0</v>
      </c>
      <c r="P11" s="27">
        <v>0</v>
      </c>
      <c r="Q11" s="27">
        <v>63</v>
      </c>
      <c r="R11" s="27">
        <f>63*110*5</f>
        <v>34650</v>
      </c>
      <c r="S11" s="27"/>
      <c r="T11" s="27"/>
      <c r="U11" s="27"/>
      <c r="V11" s="27"/>
      <c r="W11" s="27">
        <f>1+831</f>
        <v>832</v>
      </c>
      <c r="X11" s="27">
        <f>1000+62325</f>
        <v>63325</v>
      </c>
      <c r="Y11" s="27"/>
      <c r="Z11" s="27"/>
      <c r="AA11" s="27"/>
      <c r="AB11" s="27"/>
      <c r="AC11" s="27">
        <f t="shared" si="0"/>
        <v>1876</v>
      </c>
      <c r="AD11" s="27">
        <f t="shared" si="1"/>
        <v>507653</v>
      </c>
    </row>
    <row r="12" spans="1:30" s="1" customFormat="1" ht="26.25" customHeight="1">
      <c r="A12" s="27" t="s">
        <v>27</v>
      </c>
      <c r="B12" s="27">
        <v>351</v>
      </c>
      <c r="C12" s="27">
        <v>570</v>
      </c>
      <c r="D12" s="27">
        <v>260701</v>
      </c>
      <c r="E12" s="27">
        <v>2</v>
      </c>
      <c r="F12" s="27">
        <v>1676</v>
      </c>
      <c r="G12" s="27">
        <v>58</v>
      </c>
      <c r="H12" s="27">
        <f>58*741+58*30</f>
        <v>44718</v>
      </c>
      <c r="I12" s="27">
        <f>173+18</f>
        <v>191</v>
      </c>
      <c r="J12" s="27">
        <f>173*65+18*22</f>
        <v>11641</v>
      </c>
      <c r="K12" s="27">
        <v>2</v>
      </c>
      <c r="L12" s="27">
        <v>8900</v>
      </c>
      <c r="M12" s="27">
        <f>46+46+29</f>
        <v>121</v>
      </c>
      <c r="N12" s="27">
        <f>15300+19600+23000</f>
        <v>57900</v>
      </c>
      <c r="O12" s="27">
        <v>0</v>
      </c>
      <c r="P12" s="27">
        <v>0</v>
      </c>
      <c r="Q12" s="27">
        <f>11+33</f>
        <v>44</v>
      </c>
      <c r="R12" s="27">
        <f>16000+155000</f>
        <v>171000</v>
      </c>
      <c r="S12" s="27"/>
      <c r="T12" s="27"/>
      <c r="U12" s="27"/>
      <c r="V12" s="27"/>
      <c r="W12" s="27">
        <f>1+4</f>
        <v>5</v>
      </c>
      <c r="X12" s="27">
        <f>1000+1580</f>
        <v>2580</v>
      </c>
      <c r="Y12" s="27"/>
      <c r="Z12" s="27"/>
      <c r="AA12" s="27"/>
      <c r="AB12" s="27"/>
      <c r="AC12" s="27">
        <f t="shared" si="0"/>
        <v>993</v>
      </c>
      <c r="AD12" s="27">
        <f t="shared" si="1"/>
        <v>559116</v>
      </c>
    </row>
    <row r="13" spans="1:30" s="1" customFormat="1" ht="26.25" customHeight="1">
      <c r="A13" s="27" t="s">
        <v>28</v>
      </c>
      <c r="B13" s="27">
        <f>49+289</f>
        <v>338</v>
      </c>
      <c r="C13" s="27">
        <f>124+421</f>
        <v>545</v>
      </c>
      <c r="D13" s="27">
        <f>28903+218608</f>
        <v>247511</v>
      </c>
      <c r="E13" s="27">
        <v>2</v>
      </c>
      <c r="F13" s="27">
        <v>1676</v>
      </c>
      <c r="G13" s="27">
        <v>58</v>
      </c>
      <c r="H13" s="27">
        <f>58*741+58*30</f>
        <v>44718</v>
      </c>
      <c r="I13" s="27">
        <f>169+18</f>
        <v>187</v>
      </c>
      <c r="J13" s="27">
        <f>169*65+18*22</f>
        <v>11381</v>
      </c>
      <c r="K13" s="27">
        <v>5</v>
      </c>
      <c r="L13" s="27">
        <v>35330</v>
      </c>
      <c r="M13" s="27">
        <v>148</v>
      </c>
      <c r="N13" s="27">
        <v>51800</v>
      </c>
      <c r="O13" s="27">
        <v>0</v>
      </c>
      <c r="P13" s="27">
        <v>0</v>
      </c>
      <c r="Q13" s="27">
        <f>4+7</f>
        <v>11</v>
      </c>
      <c r="R13" s="27">
        <f>1*1500+3*1000+6*5000+1*3000</f>
        <v>37500</v>
      </c>
      <c r="S13" s="27"/>
      <c r="T13" s="27"/>
      <c r="U13" s="27">
        <v>129</v>
      </c>
      <c r="V13" s="27">
        <v>73164</v>
      </c>
      <c r="W13" s="27">
        <v>1</v>
      </c>
      <c r="X13" s="27">
        <v>1000</v>
      </c>
      <c r="Y13" s="27">
        <v>6</v>
      </c>
      <c r="Z13" s="27">
        <v>24500</v>
      </c>
      <c r="AA13" s="27">
        <v>1</v>
      </c>
      <c r="AB13" s="27">
        <v>2000</v>
      </c>
      <c r="AC13" s="27">
        <f t="shared" si="0"/>
        <v>1093</v>
      </c>
      <c r="AD13" s="27">
        <f t="shared" si="1"/>
        <v>530580</v>
      </c>
    </row>
    <row r="14" spans="1:30" s="1" customFormat="1" ht="26.25" customHeight="1">
      <c r="A14" s="27" t="s">
        <v>29</v>
      </c>
      <c r="B14" s="27">
        <v>334</v>
      </c>
      <c r="C14" s="27">
        <v>538</v>
      </c>
      <c r="D14" s="27">
        <v>244346</v>
      </c>
      <c r="E14" s="27">
        <v>2</v>
      </c>
      <c r="F14" s="27">
        <f>1676</f>
        <v>1676</v>
      </c>
      <c r="G14" s="27">
        <v>58</v>
      </c>
      <c r="H14" s="27">
        <f>58*741+58*30</f>
        <v>44718</v>
      </c>
      <c r="I14" s="27">
        <f>162+18</f>
        <v>180</v>
      </c>
      <c r="J14" s="27">
        <f>162*65+18*22</f>
        <v>10926</v>
      </c>
      <c r="K14" s="27">
        <v>4</v>
      </c>
      <c r="L14" s="27">
        <v>15210</v>
      </c>
      <c r="M14" s="27">
        <v>56</v>
      </c>
      <c r="N14" s="27">
        <v>19800</v>
      </c>
      <c r="O14" s="27">
        <v>0</v>
      </c>
      <c r="P14" s="27">
        <v>0</v>
      </c>
      <c r="Q14" s="27"/>
      <c r="R14" s="27"/>
      <c r="S14" s="27"/>
      <c r="T14" s="27"/>
      <c r="U14" s="27"/>
      <c r="V14" s="27"/>
      <c r="W14" s="27">
        <v>2</v>
      </c>
      <c r="X14" s="27">
        <f>500+1000</f>
        <v>1500</v>
      </c>
      <c r="Y14" s="27"/>
      <c r="Z14" s="27"/>
      <c r="AA14" s="27"/>
      <c r="AB14" s="27"/>
      <c r="AC14" s="27">
        <f t="shared" si="0"/>
        <v>840</v>
      </c>
      <c r="AD14" s="27">
        <f t="shared" si="1"/>
        <v>338176</v>
      </c>
    </row>
    <row r="15" spans="1:30" s="1" customFormat="1" ht="26.25" customHeight="1">
      <c r="A15" s="27" t="s">
        <v>30</v>
      </c>
      <c r="B15" s="27">
        <v>330</v>
      </c>
      <c r="C15" s="27">
        <v>534</v>
      </c>
      <c r="D15" s="27">
        <v>240534</v>
      </c>
      <c r="E15" s="27">
        <v>2</v>
      </c>
      <c r="F15" s="27">
        <v>1676</v>
      </c>
      <c r="G15" s="27">
        <v>58</v>
      </c>
      <c r="H15" s="27">
        <f>58*741+58*30</f>
        <v>44718</v>
      </c>
      <c r="I15" s="27">
        <f>165+18</f>
        <v>183</v>
      </c>
      <c r="J15" s="27">
        <f>165*65+18*22</f>
        <v>11121</v>
      </c>
      <c r="K15" s="27">
        <v>4</v>
      </c>
      <c r="L15" s="27">
        <v>9420</v>
      </c>
      <c r="M15" s="27">
        <v>55</v>
      </c>
      <c r="N15" s="27">
        <v>16920</v>
      </c>
      <c r="O15" s="27">
        <v>0</v>
      </c>
      <c r="P15" s="27">
        <v>0</v>
      </c>
      <c r="Q15" s="27"/>
      <c r="R15" s="27"/>
      <c r="S15" s="27"/>
      <c r="T15" s="27"/>
      <c r="U15" s="27"/>
      <c r="V15" s="27"/>
      <c r="W15" s="27">
        <v>1</v>
      </c>
      <c r="X15" s="27">
        <v>1100</v>
      </c>
      <c r="Y15" s="27">
        <v>2</v>
      </c>
      <c r="Z15" s="27">
        <v>8000</v>
      </c>
      <c r="AA15" s="27"/>
      <c r="AB15" s="27"/>
      <c r="AC15" s="27">
        <f t="shared" si="0"/>
        <v>839</v>
      </c>
      <c r="AD15" s="27">
        <f t="shared" si="1"/>
        <v>333489</v>
      </c>
    </row>
    <row r="16" spans="1:30" s="1" customFormat="1" ht="26.25" customHeight="1">
      <c r="A16" s="27" t="s">
        <v>31</v>
      </c>
      <c r="B16" s="27">
        <v>335</v>
      </c>
      <c r="C16" s="27">
        <v>543</v>
      </c>
      <c r="D16" s="27">
        <v>243665</v>
      </c>
      <c r="E16" s="27">
        <v>2</v>
      </c>
      <c r="F16" s="27">
        <v>1676</v>
      </c>
      <c r="G16" s="27">
        <v>59</v>
      </c>
      <c r="H16" s="27">
        <f>59*741+59*30</f>
        <v>45489</v>
      </c>
      <c r="I16" s="27">
        <f>165+19</f>
        <v>184</v>
      </c>
      <c r="J16" s="27">
        <f>165*65+19*22</f>
        <v>11143</v>
      </c>
      <c r="K16" s="27">
        <v>3</v>
      </c>
      <c r="L16" s="27">
        <v>3930</v>
      </c>
      <c r="M16" s="27">
        <v>54</v>
      </c>
      <c r="N16" s="27">
        <v>17400</v>
      </c>
      <c r="O16" s="27"/>
      <c r="P16" s="27"/>
      <c r="Q16" s="27"/>
      <c r="R16" s="27"/>
      <c r="S16" s="27"/>
      <c r="T16" s="27"/>
      <c r="U16" s="27">
        <v>140</v>
      </c>
      <c r="V16" s="27">
        <v>122144</v>
      </c>
      <c r="W16" s="27">
        <v>1</v>
      </c>
      <c r="X16" s="27">
        <v>1000</v>
      </c>
      <c r="Y16" s="27">
        <v>4</v>
      </c>
      <c r="Z16" s="27">
        <v>16500</v>
      </c>
      <c r="AA16" s="27"/>
      <c r="AB16" s="27"/>
      <c r="AC16" s="27">
        <f t="shared" si="0"/>
        <v>990</v>
      </c>
      <c r="AD16" s="27">
        <f t="shared" si="1"/>
        <v>462947</v>
      </c>
    </row>
    <row r="17" spans="1:30" s="1" customFormat="1" ht="26.25" customHeight="1">
      <c r="A17" s="27" t="s">
        <v>32</v>
      </c>
      <c r="B17" s="27">
        <f>SUM(B5:B16)</f>
        <v>4616</v>
      </c>
      <c r="C17" s="27">
        <f aca="true" t="shared" si="2" ref="C17:AD17">SUM(C5:C16)</f>
        <v>7712</v>
      </c>
      <c r="D17" s="27">
        <f t="shared" si="2"/>
        <v>3256037</v>
      </c>
      <c r="E17" s="27">
        <f t="shared" si="2"/>
        <v>24</v>
      </c>
      <c r="F17" s="27">
        <f t="shared" si="2"/>
        <v>19536</v>
      </c>
      <c r="G17" s="27">
        <f t="shared" si="2"/>
        <v>680</v>
      </c>
      <c r="H17" s="27">
        <f t="shared" si="2"/>
        <v>510168</v>
      </c>
      <c r="I17" s="27">
        <f t="shared" si="2"/>
        <v>2383</v>
      </c>
      <c r="J17" s="27">
        <f t="shared" si="2"/>
        <v>145220</v>
      </c>
      <c r="K17" s="27">
        <f t="shared" si="2"/>
        <v>42</v>
      </c>
      <c r="L17" s="27">
        <f t="shared" si="2"/>
        <v>151910</v>
      </c>
      <c r="M17" s="27">
        <f t="shared" si="2"/>
        <v>1770</v>
      </c>
      <c r="N17" s="27">
        <f t="shared" si="2"/>
        <v>497790</v>
      </c>
      <c r="O17" s="27">
        <f t="shared" si="2"/>
        <v>6</v>
      </c>
      <c r="P17" s="27">
        <f t="shared" si="2"/>
        <v>8400</v>
      </c>
      <c r="Q17" s="27">
        <f t="shared" si="2"/>
        <v>195</v>
      </c>
      <c r="R17" s="27">
        <f t="shared" si="2"/>
        <v>289400</v>
      </c>
      <c r="S17" s="27">
        <f t="shared" si="2"/>
        <v>2965</v>
      </c>
      <c r="T17" s="27">
        <f t="shared" si="2"/>
        <v>738700</v>
      </c>
      <c r="U17" s="27">
        <f t="shared" si="2"/>
        <v>640</v>
      </c>
      <c r="V17" s="27">
        <f t="shared" si="2"/>
        <v>337035</v>
      </c>
      <c r="W17" s="27">
        <f t="shared" si="2"/>
        <v>1151</v>
      </c>
      <c r="X17" s="27">
        <f t="shared" si="2"/>
        <v>125143.88</v>
      </c>
      <c r="Y17" s="27">
        <f t="shared" si="2"/>
        <v>30</v>
      </c>
      <c r="Z17" s="27">
        <f t="shared" si="2"/>
        <v>101500</v>
      </c>
      <c r="AA17" s="27">
        <f t="shared" si="2"/>
        <v>350</v>
      </c>
      <c r="AB17" s="27">
        <f t="shared" si="2"/>
        <v>118666</v>
      </c>
      <c r="AC17" s="27">
        <f t="shared" si="2"/>
        <v>17948</v>
      </c>
      <c r="AD17" s="39">
        <f t="shared" si="2"/>
        <v>6299505.88</v>
      </c>
    </row>
    <row r="18" spans="3:23" s="4" customFormat="1" ht="13.5">
      <c r="C18" s="5"/>
      <c r="D18" s="5"/>
      <c r="M18" s="36">
        <f>M17-M5</f>
        <v>798</v>
      </c>
      <c r="N18" s="36">
        <f>N17-N5</f>
        <v>288590</v>
      </c>
      <c r="W18" s="5"/>
    </row>
    <row r="19" spans="3:23" s="4" customFormat="1" ht="13.5">
      <c r="C19" s="5"/>
      <c r="D19" s="5"/>
      <c r="N19" s="33"/>
      <c r="W19" s="5"/>
    </row>
    <row r="20" spans="3:23" s="4" customFormat="1" ht="13.5">
      <c r="C20" s="5"/>
      <c r="D20" s="5"/>
      <c r="W20" s="5"/>
    </row>
    <row r="21" spans="3:23" s="4" customFormat="1" ht="13.5">
      <c r="C21" s="5"/>
      <c r="D21" s="5"/>
      <c r="W21" s="5"/>
    </row>
    <row r="22" spans="3:23" s="4" customFormat="1" ht="13.5">
      <c r="C22" s="5"/>
      <c r="D22" s="5"/>
      <c r="L22" s="33"/>
      <c r="W22" s="5"/>
    </row>
    <row r="23" spans="3:23" s="4" customFormat="1" ht="13.5">
      <c r="C23" s="5"/>
      <c r="D23" s="5"/>
      <c r="W23" s="5"/>
    </row>
    <row r="24" spans="3:23" s="4" customFormat="1" ht="13.5">
      <c r="C24" s="5"/>
      <c r="D24" s="5"/>
      <c r="W24" s="5"/>
    </row>
    <row r="25" spans="3:23" s="4" customFormat="1" ht="13.5">
      <c r="C25" s="5"/>
      <c r="D25" s="5"/>
      <c r="W25" s="5"/>
    </row>
    <row r="26" spans="3:23" s="4" customFormat="1" ht="13.5">
      <c r="C26" s="5"/>
      <c r="D26" s="5"/>
      <c r="W26" s="5"/>
    </row>
    <row r="27" spans="3:23" s="4" customFormat="1" ht="13.5">
      <c r="C27" s="5"/>
      <c r="D27" s="5"/>
      <c r="W27" s="5"/>
    </row>
    <row r="28" spans="3:23" s="4" customFormat="1" ht="13.5">
      <c r="C28" s="5"/>
      <c r="D28" s="5"/>
      <c r="W28" s="5"/>
    </row>
    <row r="29" spans="3:23" s="4" customFormat="1" ht="13.5">
      <c r="C29" s="5"/>
      <c r="D29" s="5"/>
      <c r="W29" s="5"/>
    </row>
    <row r="30" spans="3:23" s="4" customFormat="1" ht="13.5">
      <c r="C30" s="5"/>
      <c r="D30" s="5"/>
      <c r="W30" s="5"/>
    </row>
    <row r="31" spans="3:23" s="4" customFormat="1" ht="13.5">
      <c r="C31" s="5"/>
      <c r="D31" s="5"/>
      <c r="W31" s="5"/>
    </row>
    <row r="32" spans="3:23" s="4" customFormat="1" ht="13.5">
      <c r="C32" s="5"/>
      <c r="D32" s="5"/>
      <c r="W32" s="5"/>
    </row>
    <row r="33" spans="3:23" s="4" customFormat="1" ht="13.5">
      <c r="C33" s="5"/>
      <c r="D33" s="5"/>
      <c r="W33" s="5"/>
    </row>
    <row r="34" spans="3:23" s="4" customFormat="1" ht="13.5">
      <c r="C34" s="5"/>
      <c r="D34" s="5"/>
      <c r="W34" s="5"/>
    </row>
    <row r="35" spans="3:23" s="4" customFormat="1" ht="13.5">
      <c r="C35" s="5"/>
      <c r="D35" s="5"/>
      <c r="W35" s="5"/>
    </row>
    <row r="36" spans="3:23" s="4" customFormat="1" ht="13.5">
      <c r="C36" s="5"/>
      <c r="D36" s="5"/>
      <c r="W36" s="5"/>
    </row>
    <row r="37" spans="3:23" s="4" customFormat="1" ht="13.5">
      <c r="C37" s="5"/>
      <c r="D37" s="5"/>
      <c r="W37" s="5"/>
    </row>
    <row r="38" spans="3:23" s="4" customFormat="1" ht="13.5">
      <c r="C38" s="5"/>
      <c r="D38" s="5"/>
      <c r="W38" s="5"/>
    </row>
    <row r="39" spans="3:23" s="4" customFormat="1" ht="13.5">
      <c r="C39" s="5"/>
      <c r="D39" s="5"/>
      <c r="W39" s="5"/>
    </row>
    <row r="40" spans="3:23" s="4" customFormat="1" ht="13.5">
      <c r="C40" s="5"/>
      <c r="D40" s="5"/>
      <c r="W40" s="5"/>
    </row>
  </sheetData>
  <sheetProtection/>
  <mergeCells count="15">
    <mergeCell ref="A1:AD1"/>
    <mergeCell ref="B3:D3"/>
    <mergeCell ref="E3:F3"/>
    <mergeCell ref="G3:H3"/>
    <mergeCell ref="I3:J3"/>
    <mergeCell ref="K3:L3"/>
    <mergeCell ref="M3:N3"/>
    <mergeCell ref="O3:P3"/>
    <mergeCell ref="Q3:R3"/>
    <mergeCell ref="S3:T3"/>
    <mergeCell ref="U3:V3"/>
    <mergeCell ref="W3:X3"/>
    <mergeCell ref="Y3:Z3"/>
    <mergeCell ref="AA3:AB3"/>
    <mergeCell ref="AC3:AD3"/>
  </mergeCells>
  <printOptions/>
  <pageMargins left="0.27" right="0.34" top="0.78" bottom="0.73" header="0.5" footer="0.5"/>
  <pageSetup horizontalDpi="600" verticalDpi="600" orientation="landscape" paperSize="9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40"/>
  <sheetViews>
    <sheetView zoomScale="130" zoomScaleNormal="130" workbookViewId="0" topLeftCell="I1">
      <pane ySplit="4" topLeftCell="A14" activePane="bottomLeft" state="frozen"/>
      <selection pane="bottomLeft" activeCell="K23" sqref="K23"/>
    </sheetView>
  </sheetViews>
  <sheetFormatPr defaultColWidth="9.00390625" defaultRowHeight="14.25"/>
  <cols>
    <col min="1" max="1" width="4.375" style="0" customWidth="1"/>
    <col min="2" max="2" width="3.50390625" style="0" customWidth="1"/>
    <col min="3" max="3" width="3.50390625" style="5" customWidth="1"/>
    <col min="4" max="4" width="5.50390625" style="5" customWidth="1"/>
    <col min="5" max="5" width="3.00390625" style="0" customWidth="1"/>
    <col min="6" max="6" width="5.00390625" style="0" customWidth="1"/>
    <col min="7" max="7" width="3.625" style="0" customWidth="1"/>
    <col min="8" max="8" width="7.00390625" style="0" customWidth="1"/>
    <col min="9" max="9" width="3.375" style="0" customWidth="1"/>
    <col min="10" max="10" width="5.125" style="0" customWidth="1"/>
    <col min="11" max="11" width="2.875" style="0" customWidth="1"/>
    <col min="12" max="12" width="5.75390625" style="0" customWidth="1"/>
    <col min="13" max="13" width="3.625" style="0" customWidth="1"/>
    <col min="14" max="14" width="5.50390625" style="0" customWidth="1"/>
    <col min="15" max="15" width="3.375" style="0" customWidth="1"/>
    <col min="16" max="16" width="5.625" style="0" customWidth="1"/>
    <col min="17" max="17" width="3.875" style="0" customWidth="1"/>
    <col min="18" max="18" width="4.875" style="0" customWidth="1"/>
    <col min="19" max="19" width="3.25390625" style="0" customWidth="1"/>
    <col min="20" max="20" width="5.50390625" style="0" customWidth="1"/>
    <col min="21" max="21" width="3.375" style="5" customWidth="1"/>
    <col min="22" max="22" width="6.125" style="0" customWidth="1"/>
    <col min="23" max="23" width="3.00390625" style="0" customWidth="1"/>
    <col min="24" max="27" width="4.375" style="0" customWidth="1"/>
    <col min="28" max="28" width="9.875" style="0" customWidth="1"/>
  </cols>
  <sheetData>
    <row r="1" spans="1:28" ht="37.5" customHeight="1">
      <c r="A1" s="20" t="s">
        <v>33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</row>
    <row r="2" spans="1:18" ht="15.75" customHeight="1">
      <c r="A2" s="20"/>
      <c r="B2" s="20"/>
      <c r="C2" s="21"/>
      <c r="D2" s="21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</row>
    <row r="3" spans="1:28" s="40" customFormat="1" ht="23.25" customHeight="1">
      <c r="A3" s="41" t="s">
        <v>1</v>
      </c>
      <c r="B3" s="42" t="s">
        <v>2</v>
      </c>
      <c r="C3" s="43"/>
      <c r="D3" s="44"/>
      <c r="E3" s="45" t="s">
        <v>3</v>
      </c>
      <c r="F3" s="45"/>
      <c r="G3" s="45" t="s">
        <v>4</v>
      </c>
      <c r="H3" s="45"/>
      <c r="I3" s="45" t="s">
        <v>5</v>
      </c>
      <c r="J3" s="45"/>
      <c r="K3" s="45" t="s">
        <v>6</v>
      </c>
      <c r="L3" s="45"/>
      <c r="M3" s="45" t="s">
        <v>7</v>
      </c>
      <c r="N3" s="45"/>
      <c r="O3" s="45" t="s">
        <v>9</v>
      </c>
      <c r="P3" s="45"/>
      <c r="Q3" s="45" t="s">
        <v>10</v>
      </c>
      <c r="R3" s="45"/>
      <c r="S3" s="45" t="s">
        <v>11</v>
      </c>
      <c r="T3" s="45"/>
      <c r="U3" s="50" t="s">
        <v>12</v>
      </c>
      <c r="V3" s="51"/>
      <c r="W3" s="50" t="s">
        <v>13</v>
      </c>
      <c r="X3" s="51"/>
      <c r="Y3" s="50" t="s">
        <v>14</v>
      </c>
      <c r="Z3" s="51"/>
      <c r="AA3" s="45" t="s">
        <v>15</v>
      </c>
      <c r="AB3" s="45"/>
    </row>
    <row r="4" spans="1:28" s="40" customFormat="1" ht="23.25" customHeight="1">
      <c r="A4" s="46" t="s">
        <v>16</v>
      </c>
      <c r="B4" s="47" t="s">
        <v>17</v>
      </c>
      <c r="C4" s="45" t="s">
        <v>18</v>
      </c>
      <c r="D4" s="45" t="s">
        <v>19</v>
      </c>
      <c r="E4" s="45" t="s">
        <v>18</v>
      </c>
      <c r="F4" s="45" t="s">
        <v>19</v>
      </c>
      <c r="G4" s="45" t="s">
        <v>18</v>
      </c>
      <c r="H4" s="45" t="s">
        <v>19</v>
      </c>
      <c r="I4" s="45" t="s">
        <v>18</v>
      </c>
      <c r="J4" s="45" t="s">
        <v>19</v>
      </c>
      <c r="K4" s="45" t="s">
        <v>18</v>
      </c>
      <c r="L4" s="45" t="s">
        <v>19</v>
      </c>
      <c r="M4" s="45" t="s">
        <v>18</v>
      </c>
      <c r="N4" s="45" t="s">
        <v>19</v>
      </c>
      <c r="O4" s="45" t="s">
        <v>18</v>
      </c>
      <c r="P4" s="45" t="s">
        <v>19</v>
      </c>
      <c r="Q4" s="45" t="s">
        <v>18</v>
      </c>
      <c r="R4" s="45" t="s">
        <v>19</v>
      </c>
      <c r="S4" s="45" t="s">
        <v>18</v>
      </c>
      <c r="T4" s="45" t="s">
        <v>19</v>
      </c>
      <c r="U4" s="45" t="s">
        <v>18</v>
      </c>
      <c r="V4" s="45" t="s">
        <v>19</v>
      </c>
      <c r="W4" s="45" t="s">
        <v>18</v>
      </c>
      <c r="X4" s="45" t="s">
        <v>19</v>
      </c>
      <c r="Y4" s="45" t="s">
        <v>18</v>
      </c>
      <c r="Z4" s="45" t="s">
        <v>19</v>
      </c>
      <c r="AA4" s="45" t="s">
        <v>18</v>
      </c>
      <c r="AB4" s="45" t="s">
        <v>19</v>
      </c>
    </row>
    <row r="5" spans="1:28" s="1" customFormat="1" ht="26.25" customHeight="1">
      <c r="A5" s="27" t="s">
        <v>20</v>
      </c>
      <c r="B5" s="27">
        <v>341</v>
      </c>
      <c r="C5" s="27">
        <v>561</v>
      </c>
      <c r="D5" s="27">
        <v>248297</v>
      </c>
      <c r="E5" s="27">
        <v>2</v>
      </c>
      <c r="F5" s="27">
        <v>1676</v>
      </c>
      <c r="G5" s="27">
        <v>58</v>
      </c>
      <c r="H5" s="27">
        <v>44718</v>
      </c>
      <c r="I5" s="27">
        <v>192</v>
      </c>
      <c r="J5" s="27">
        <f>171*65+21*22</f>
        <v>11577</v>
      </c>
      <c r="K5" s="27">
        <v>6</v>
      </c>
      <c r="L5" s="27">
        <v>11720</v>
      </c>
      <c r="M5" s="48"/>
      <c r="N5" s="48"/>
      <c r="O5" s="27">
        <v>57</v>
      </c>
      <c r="P5" s="27">
        <v>31350</v>
      </c>
      <c r="Q5" s="27">
        <v>2756</v>
      </c>
      <c r="R5" s="27">
        <v>918430</v>
      </c>
      <c r="S5" s="27">
        <v>138</v>
      </c>
      <c r="T5" s="27">
        <v>122144</v>
      </c>
      <c r="U5" s="27">
        <v>1</v>
      </c>
      <c r="V5" s="27">
        <v>1000</v>
      </c>
      <c r="W5" s="27">
        <v>15</v>
      </c>
      <c r="X5" s="27">
        <v>39000</v>
      </c>
      <c r="Y5" s="27"/>
      <c r="Z5" s="27"/>
      <c r="AA5" s="27">
        <f>C5+E5+G5+I5+K5+M5+O5+Q5+S5+U5+W5+Y5</f>
        <v>3786</v>
      </c>
      <c r="AB5" s="27">
        <f>Z5+X5+V5+T5+R5+P5+N5+L5+J5+H5+F5+D5</f>
        <v>1429912</v>
      </c>
    </row>
    <row r="6" spans="1:28" s="1" customFormat="1" ht="26.25" customHeight="1">
      <c r="A6" s="27" t="s">
        <v>21</v>
      </c>
      <c r="B6" s="27">
        <v>350</v>
      </c>
      <c r="C6" s="27">
        <v>569</v>
      </c>
      <c r="D6" s="27">
        <v>252820</v>
      </c>
      <c r="E6" s="27">
        <v>2</v>
      </c>
      <c r="F6" s="27">
        <v>1676</v>
      </c>
      <c r="G6" s="27">
        <v>57</v>
      </c>
      <c r="H6" s="27">
        <v>43947</v>
      </c>
      <c r="I6" s="27">
        <v>196</v>
      </c>
      <c r="J6" s="27">
        <f>175*65+21*22</f>
        <v>11837</v>
      </c>
      <c r="K6" s="27">
        <v>2</v>
      </c>
      <c r="L6" s="27">
        <v>2150</v>
      </c>
      <c r="M6" s="48"/>
      <c r="N6" s="48"/>
      <c r="O6" s="27"/>
      <c r="P6" s="27"/>
      <c r="Q6" s="27"/>
      <c r="R6" s="27"/>
      <c r="S6" s="27"/>
      <c r="T6" s="27"/>
      <c r="U6" s="27">
        <v>1</v>
      </c>
      <c r="V6" s="27">
        <v>500</v>
      </c>
      <c r="W6" s="27"/>
      <c r="X6" s="27"/>
      <c r="Y6" s="27"/>
      <c r="Z6" s="27"/>
      <c r="AA6" s="27">
        <f aca="true" t="shared" si="0" ref="AA6:AA17">C6+E6+G6+I6+K6+M6+O6+Q6+S6+U6+W6+Y6</f>
        <v>827</v>
      </c>
      <c r="AB6" s="27">
        <f aca="true" t="shared" si="1" ref="AB6:AB17">Z6+X6+V6+T6+R6+P6+N6+L6+J6+H6+F6+D6</f>
        <v>312930</v>
      </c>
    </row>
    <row r="7" spans="1:28" s="1" customFormat="1" ht="26.25" customHeight="1">
      <c r="A7" s="27" t="s">
        <v>22</v>
      </c>
      <c r="B7" s="27">
        <v>348</v>
      </c>
      <c r="C7" s="27">
        <v>567</v>
      </c>
      <c r="D7" s="27">
        <v>249622</v>
      </c>
      <c r="E7" s="27">
        <v>2</v>
      </c>
      <c r="F7" s="27">
        <v>1676</v>
      </c>
      <c r="G7" s="27">
        <v>59</v>
      </c>
      <c r="H7" s="27">
        <f>59*741+59*30</f>
        <v>45489</v>
      </c>
      <c r="I7" s="27">
        <v>199</v>
      </c>
      <c r="J7" s="27">
        <f>175*65+21*22</f>
        <v>11837</v>
      </c>
      <c r="K7" s="27">
        <v>4</v>
      </c>
      <c r="L7" s="27">
        <v>9000</v>
      </c>
      <c r="M7" s="27">
        <v>74</v>
      </c>
      <c r="N7" s="27">
        <v>25300</v>
      </c>
      <c r="O7" s="27"/>
      <c r="P7" s="27"/>
      <c r="Q7" s="27"/>
      <c r="R7" s="27"/>
      <c r="S7" s="27">
        <v>139</v>
      </c>
      <c r="T7" s="27">
        <v>83603</v>
      </c>
      <c r="U7" s="27">
        <v>351</v>
      </c>
      <c r="V7" s="27">
        <v>61050.28</v>
      </c>
      <c r="W7" s="27"/>
      <c r="X7" s="27"/>
      <c r="Y7" s="27"/>
      <c r="Z7" s="27"/>
      <c r="AA7" s="27">
        <f t="shared" si="0"/>
        <v>1395</v>
      </c>
      <c r="AB7" s="27">
        <f t="shared" si="1"/>
        <v>487577.28</v>
      </c>
    </row>
    <row r="8" spans="1:28" s="1" customFormat="1" ht="26.25" customHeight="1">
      <c r="A8" s="27" t="s">
        <v>23</v>
      </c>
      <c r="B8" s="27">
        <v>349</v>
      </c>
      <c r="C8" s="27">
        <v>571</v>
      </c>
      <c r="D8" s="27">
        <v>280583</v>
      </c>
      <c r="E8" s="27">
        <v>2</v>
      </c>
      <c r="F8" s="27">
        <v>1882</v>
      </c>
      <c r="G8" s="27">
        <v>60</v>
      </c>
      <c r="H8" s="27">
        <f>60*832+60*30</f>
        <v>51720</v>
      </c>
      <c r="I8" s="27">
        <v>204</v>
      </c>
      <c r="J8" s="27">
        <f>183*65+21*22</f>
        <v>12357</v>
      </c>
      <c r="K8" s="27">
        <v>1</v>
      </c>
      <c r="L8" s="27">
        <v>4410</v>
      </c>
      <c r="M8" s="27">
        <v>94</v>
      </c>
      <c r="N8" s="27">
        <v>32410</v>
      </c>
      <c r="O8" s="27"/>
      <c r="P8" s="27"/>
      <c r="Q8" s="27"/>
      <c r="R8" s="27"/>
      <c r="S8" s="27"/>
      <c r="T8" s="27"/>
      <c r="U8" s="27">
        <v>12</v>
      </c>
      <c r="V8" s="27">
        <v>2031.28</v>
      </c>
      <c r="W8" s="27">
        <v>3</v>
      </c>
      <c r="X8" s="27">
        <v>10000</v>
      </c>
      <c r="Y8" s="27"/>
      <c r="Z8" s="27"/>
      <c r="AA8" s="27">
        <f t="shared" si="0"/>
        <v>947</v>
      </c>
      <c r="AB8" s="27">
        <f t="shared" si="1"/>
        <v>395393.28</v>
      </c>
    </row>
    <row r="9" spans="1:28" s="1" customFormat="1" ht="26.25" customHeight="1">
      <c r="A9" s="27" t="s">
        <v>24</v>
      </c>
      <c r="B9" s="27">
        <v>354</v>
      </c>
      <c r="C9" s="27">
        <v>579</v>
      </c>
      <c r="D9" s="27">
        <v>283290</v>
      </c>
      <c r="E9" s="27">
        <v>2</v>
      </c>
      <c r="F9" s="27">
        <v>1882</v>
      </c>
      <c r="G9" s="27">
        <v>60</v>
      </c>
      <c r="H9" s="27">
        <f>60*832+60*30</f>
        <v>51720</v>
      </c>
      <c r="I9" s="27">
        <v>205</v>
      </c>
      <c r="J9" s="27">
        <f>184*65+21*22</f>
        <v>12422</v>
      </c>
      <c r="K9" s="27">
        <v>5</v>
      </c>
      <c r="L9" s="27">
        <v>23310</v>
      </c>
      <c r="M9" s="27">
        <v>92</v>
      </c>
      <c r="N9" s="27">
        <v>30300</v>
      </c>
      <c r="O9" s="27"/>
      <c r="P9" s="35"/>
      <c r="Q9" s="35"/>
      <c r="R9" s="35"/>
      <c r="S9" s="27"/>
      <c r="T9" s="27"/>
      <c r="U9" s="27">
        <v>131</v>
      </c>
      <c r="V9" s="27">
        <v>13856.67</v>
      </c>
      <c r="W9" s="27">
        <v>2</v>
      </c>
      <c r="X9" s="27">
        <v>7000</v>
      </c>
      <c r="Y9" s="27"/>
      <c r="Z9" s="27"/>
      <c r="AA9" s="27">
        <f t="shared" si="0"/>
        <v>1076</v>
      </c>
      <c r="AB9" s="27">
        <f t="shared" si="1"/>
        <v>423780.67</v>
      </c>
    </row>
    <row r="10" spans="1:28" s="1" customFormat="1" ht="26.25" customHeight="1">
      <c r="A10" s="27" t="s">
        <v>25</v>
      </c>
      <c r="B10" s="27">
        <v>356</v>
      </c>
      <c r="C10" s="27">
        <v>579</v>
      </c>
      <c r="D10" s="27">
        <v>282990</v>
      </c>
      <c r="E10" s="27">
        <v>2</v>
      </c>
      <c r="F10" s="27">
        <v>1882</v>
      </c>
      <c r="G10" s="27">
        <v>60</v>
      </c>
      <c r="H10" s="27">
        <f>60*832+60*30</f>
        <v>51720</v>
      </c>
      <c r="I10" s="27">
        <v>207</v>
      </c>
      <c r="J10" s="27">
        <v>12552</v>
      </c>
      <c r="K10" s="27">
        <v>2</v>
      </c>
      <c r="L10" s="27">
        <v>3240</v>
      </c>
      <c r="M10" s="27">
        <v>48</v>
      </c>
      <c r="N10" s="27">
        <v>15432</v>
      </c>
      <c r="O10" s="27"/>
      <c r="P10" s="27"/>
      <c r="Q10" s="27"/>
      <c r="R10" s="27"/>
      <c r="S10" s="27">
        <v>145</v>
      </c>
      <c r="T10" s="27">
        <v>58503</v>
      </c>
      <c r="U10" s="27"/>
      <c r="V10" s="27"/>
      <c r="W10" s="27">
        <v>2</v>
      </c>
      <c r="X10" s="27">
        <v>8000</v>
      </c>
      <c r="Y10" s="27"/>
      <c r="Z10" s="27"/>
      <c r="AA10" s="27">
        <f t="shared" si="0"/>
        <v>1045</v>
      </c>
      <c r="AB10" s="27">
        <f t="shared" si="1"/>
        <v>434319</v>
      </c>
    </row>
    <row r="11" spans="1:28" s="1" customFormat="1" ht="26.25" customHeight="1">
      <c r="A11" s="27" t="s">
        <v>26</v>
      </c>
      <c r="B11" s="27">
        <v>362</v>
      </c>
      <c r="C11" s="27">
        <v>587</v>
      </c>
      <c r="D11" s="27">
        <v>287657</v>
      </c>
      <c r="E11" s="27">
        <v>2</v>
      </c>
      <c r="F11" s="27">
        <v>1882</v>
      </c>
      <c r="G11" s="27">
        <v>60</v>
      </c>
      <c r="H11" s="27">
        <f>60*832+60*30</f>
        <v>51720</v>
      </c>
      <c r="I11" s="27">
        <v>209</v>
      </c>
      <c r="J11" s="27">
        <f>187*65+22*22</f>
        <v>12639</v>
      </c>
      <c r="K11" s="27">
        <v>3</v>
      </c>
      <c r="L11" s="27">
        <v>5880</v>
      </c>
      <c r="M11" s="27">
        <v>53</v>
      </c>
      <c r="N11" s="27">
        <v>15590</v>
      </c>
      <c r="O11" s="27"/>
      <c r="P11" s="27"/>
      <c r="Q11" s="27">
        <v>62</v>
      </c>
      <c r="R11" s="27">
        <v>31000</v>
      </c>
      <c r="S11" s="27"/>
      <c r="T11" s="27"/>
      <c r="U11" s="27">
        <v>1</v>
      </c>
      <c r="V11" s="27">
        <v>120</v>
      </c>
      <c r="W11" s="27"/>
      <c r="X11" s="27"/>
      <c r="Y11" s="27"/>
      <c r="Z11" s="27"/>
      <c r="AA11" s="27">
        <f t="shared" si="0"/>
        <v>977</v>
      </c>
      <c r="AB11" s="27">
        <f t="shared" si="1"/>
        <v>406488</v>
      </c>
    </row>
    <row r="12" spans="1:28" s="1" customFormat="1" ht="26.25" customHeight="1">
      <c r="A12" s="27" t="s">
        <v>27</v>
      </c>
      <c r="B12" s="27">
        <v>360</v>
      </c>
      <c r="C12" s="27">
        <v>580</v>
      </c>
      <c r="D12" s="27">
        <v>289126</v>
      </c>
      <c r="E12" s="27">
        <v>2</v>
      </c>
      <c r="F12" s="27">
        <v>1882</v>
      </c>
      <c r="G12" s="27">
        <v>60</v>
      </c>
      <c r="H12" s="27">
        <v>51720</v>
      </c>
      <c r="I12" s="27">
        <v>207</v>
      </c>
      <c r="J12" s="27">
        <f>186*65+21*22</f>
        <v>12552</v>
      </c>
      <c r="K12" s="27">
        <v>2</v>
      </c>
      <c r="L12" s="27">
        <v>4780</v>
      </c>
      <c r="M12" s="27">
        <v>58</v>
      </c>
      <c r="N12" s="27">
        <v>20200</v>
      </c>
      <c r="O12" s="27">
        <v>31</v>
      </c>
      <c r="P12" s="27">
        <v>20000</v>
      </c>
      <c r="Q12" s="27"/>
      <c r="R12" s="27"/>
      <c r="S12" s="27"/>
      <c r="T12" s="27"/>
      <c r="U12" s="27"/>
      <c r="V12" s="27"/>
      <c r="W12" s="27">
        <v>4</v>
      </c>
      <c r="X12" s="27">
        <v>14000</v>
      </c>
      <c r="Y12" s="27"/>
      <c r="Z12" s="27"/>
      <c r="AA12" s="27">
        <f t="shared" si="0"/>
        <v>944</v>
      </c>
      <c r="AB12" s="27">
        <f t="shared" si="1"/>
        <v>414260</v>
      </c>
    </row>
    <row r="13" spans="1:28" s="1" customFormat="1" ht="26.25" customHeight="1">
      <c r="A13" s="27" t="s">
        <v>28</v>
      </c>
      <c r="B13" s="27">
        <v>358</v>
      </c>
      <c r="C13" s="27">
        <v>571</v>
      </c>
      <c r="D13" s="27">
        <v>284811</v>
      </c>
      <c r="E13" s="27">
        <v>2</v>
      </c>
      <c r="F13" s="27">
        <v>1882</v>
      </c>
      <c r="G13" s="27">
        <v>62</v>
      </c>
      <c r="H13" s="27">
        <v>51584</v>
      </c>
      <c r="I13" s="27">
        <v>207</v>
      </c>
      <c r="J13" s="27">
        <f>186*65+21*22</f>
        <v>12552</v>
      </c>
      <c r="K13" s="27">
        <v>4</v>
      </c>
      <c r="L13" s="27">
        <v>6470</v>
      </c>
      <c r="M13" s="27">
        <v>82</v>
      </c>
      <c r="N13" s="27">
        <v>25400</v>
      </c>
      <c r="O13" s="27">
        <v>37</v>
      </c>
      <c r="P13" s="27">
        <v>153000</v>
      </c>
      <c r="Q13" s="27"/>
      <c r="R13" s="27"/>
      <c r="S13" s="27">
        <v>144</v>
      </c>
      <c r="T13" s="27">
        <v>84483</v>
      </c>
      <c r="U13" s="27"/>
      <c r="V13" s="27"/>
      <c r="W13" s="27"/>
      <c r="X13" s="27"/>
      <c r="Y13" s="27"/>
      <c r="Z13" s="27"/>
      <c r="AA13" s="27">
        <f t="shared" si="0"/>
        <v>1109</v>
      </c>
      <c r="AB13" s="27">
        <f t="shared" si="1"/>
        <v>620182</v>
      </c>
    </row>
    <row r="14" spans="1:28" s="1" customFormat="1" ht="26.25" customHeight="1">
      <c r="A14" s="27" t="s">
        <v>29</v>
      </c>
      <c r="B14" s="27">
        <v>357</v>
      </c>
      <c r="C14" s="27">
        <v>566</v>
      </c>
      <c r="D14" s="27">
        <v>284972</v>
      </c>
      <c r="E14" s="27">
        <v>2</v>
      </c>
      <c r="F14" s="27">
        <v>1882</v>
      </c>
      <c r="G14" s="27">
        <v>62</v>
      </c>
      <c r="H14" s="27">
        <v>51584</v>
      </c>
      <c r="I14" s="27">
        <v>206</v>
      </c>
      <c r="J14" s="27">
        <f>183*65+23*22</f>
        <v>12401</v>
      </c>
      <c r="K14" s="27">
        <v>3</v>
      </c>
      <c r="L14" s="27">
        <v>8380</v>
      </c>
      <c r="M14" s="27">
        <v>36</v>
      </c>
      <c r="N14" s="27">
        <v>12400</v>
      </c>
      <c r="O14" s="27">
        <v>8</v>
      </c>
      <c r="P14" s="27">
        <v>19500</v>
      </c>
      <c r="Q14" s="27"/>
      <c r="R14" s="27"/>
      <c r="S14" s="27"/>
      <c r="T14" s="27"/>
      <c r="U14" s="27">
        <v>1</v>
      </c>
      <c r="V14" s="27">
        <v>600</v>
      </c>
      <c r="W14" s="27"/>
      <c r="X14" s="27"/>
      <c r="Y14" s="27">
        <v>1</v>
      </c>
      <c r="Z14" s="27">
        <v>600</v>
      </c>
      <c r="AA14" s="27">
        <f t="shared" si="0"/>
        <v>885</v>
      </c>
      <c r="AB14" s="27">
        <f t="shared" si="1"/>
        <v>392319</v>
      </c>
    </row>
    <row r="15" spans="1:28" s="1" customFormat="1" ht="26.25" customHeight="1">
      <c r="A15" s="27" t="s">
        <v>30</v>
      </c>
      <c r="B15" s="27">
        <v>357</v>
      </c>
      <c r="C15" s="27">
        <v>563</v>
      </c>
      <c r="D15" s="27">
        <v>281835</v>
      </c>
      <c r="E15" s="27">
        <v>2</v>
      </c>
      <c r="F15" s="27">
        <v>1882</v>
      </c>
      <c r="G15" s="27">
        <v>62</v>
      </c>
      <c r="H15" s="27">
        <v>51584</v>
      </c>
      <c r="I15" s="27">
        <v>211</v>
      </c>
      <c r="J15" s="27">
        <f>187*65+24*22</f>
        <v>12683</v>
      </c>
      <c r="K15" s="27">
        <v>6</v>
      </c>
      <c r="L15" s="27">
        <v>20380</v>
      </c>
      <c r="M15" s="27">
        <v>50</v>
      </c>
      <c r="N15" s="27">
        <v>18013</v>
      </c>
      <c r="O15" s="27"/>
      <c r="P15" s="27"/>
      <c r="Q15" s="27"/>
      <c r="R15" s="27"/>
      <c r="S15" s="27"/>
      <c r="T15" s="27"/>
      <c r="U15" s="27"/>
      <c r="V15" s="27"/>
      <c r="W15" s="27">
        <v>5</v>
      </c>
      <c r="X15" s="27">
        <v>19000</v>
      </c>
      <c r="Y15" s="27"/>
      <c r="Z15" s="27"/>
      <c r="AA15" s="27">
        <f t="shared" si="0"/>
        <v>899</v>
      </c>
      <c r="AB15" s="27">
        <f t="shared" si="1"/>
        <v>405377</v>
      </c>
    </row>
    <row r="16" spans="1:28" s="1" customFormat="1" ht="26.25" customHeight="1">
      <c r="A16" s="27" t="s">
        <v>31</v>
      </c>
      <c r="B16" s="27">
        <v>362</v>
      </c>
      <c r="C16" s="27">
        <v>567</v>
      </c>
      <c r="D16" s="27">
        <v>284386</v>
      </c>
      <c r="E16" s="27">
        <v>2</v>
      </c>
      <c r="F16" s="27">
        <v>1882</v>
      </c>
      <c r="G16" s="27">
        <v>64</v>
      </c>
      <c r="H16" s="27">
        <v>53248</v>
      </c>
      <c r="I16" s="27">
        <v>215</v>
      </c>
      <c r="J16" s="27">
        <v>12986</v>
      </c>
      <c r="K16" s="27">
        <v>4</v>
      </c>
      <c r="L16" s="27">
        <v>7780</v>
      </c>
      <c r="M16" s="27">
        <v>46</v>
      </c>
      <c r="N16" s="27">
        <v>16900</v>
      </c>
      <c r="O16" s="27"/>
      <c r="P16" s="27"/>
      <c r="Q16" s="27"/>
      <c r="R16" s="27"/>
      <c r="S16" s="27">
        <v>146</v>
      </c>
      <c r="T16" s="27">
        <v>130003</v>
      </c>
      <c r="U16" s="27">
        <v>9</v>
      </c>
      <c r="V16" s="27">
        <v>5200</v>
      </c>
      <c r="W16" s="27">
        <v>5</v>
      </c>
      <c r="X16" s="27">
        <v>18000</v>
      </c>
      <c r="Y16" s="27"/>
      <c r="Z16" s="27"/>
      <c r="AA16" s="27">
        <f t="shared" si="0"/>
        <v>1058</v>
      </c>
      <c r="AB16" s="27">
        <f t="shared" si="1"/>
        <v>530385</v>
      </c>
    </row>
    <row r="17" spans="1:28" s="1" customFormat="1" ht="26.25" customHeight="1">
      <c r="A17" s="27" t="s">
        <v>32</v>
      </c>
      <c r="B17" s="27">
        <f aca="true" t="shared" si="2" ref="B17:Z17">SUM(B5:B16)</f>
        <v>4254</v>
      </c>
      <c r="C17" s="27">
        <f t="shared" si="2"/>
        <v>6860</v>
      </c>
      <c r="D17" s="27">
        <f t="shared" si="2"/>
        <v>3310389</v>
      </c>
      <c r="E17" s="27">
        <f t="shared" si="2"/>
        <v>24</v>
      </c>
      <c r="F17" s="27">
        <f t="shared" si="2"/>
        <v>21966</v>
      </c>
      <c r="G17" s="27">
        <f t="shared" si="2"/>
        <v>724</v>
      </c>
      <c r="H17" s="27">
        <f t="shared" si="2"/>
        <v>600754</v>
      </c>
      <c r="I17" s="27">
        <f t="shared" si="2"/>
        <v>2458</v>
      </c>
      <c r="J17" s="27">
        <f t="shared" si="2"/>
        <v>148395</v>
      </c>
      <c r="K17" s="27">
        <f t="shared" si="2"/>
        <v>42</v>
      </c>
      <c r="L17" s="27">
        <f t="shared" si="2"/>
        <v>107500</v>
      </c>
      <c r="M17" s="27">
        <f>SUM(M7:M16)</f>
        <v>633</v>
      </c>
      <c r="N17" s="27">
        <f>SUM(N7:N16)</f>
        <v>211945</v>
      </c>
      <c r="O17" s="27">
        <f>SUM(O12:O16)</f>
        <v>76</v>
      </c>
      <c r="P17" s="27">
        <f>SUM(P12:P16)</f>
        <v>192500</v>
      </c>
      <c r="Q17" s="27">
        <f t="shared" si="2"/>
        <v>2818</v>
      </c>
      <c r="R17" s="27">
        <f t="shared" si="2"/>
        <v>949430</v>
      </c>
      <c r="S17" s="27">
        <f t="shared" si="2"/>
        <v>712</v>
      </c>
      <c r="T17" s="27">
        <f t="shared" si="2"/>
        <v>478736</v>
      </c>
      <c r="U17" s="27">
        <f t="shared" si="2"/>
        <v>507</v>
      </c>
      <c r="V17" s="27">
        <f t="shared" si="2"/>
        <v>84358.23</v>
      </c>
      <c r="W17" s="27">
        <f t="shared" si="2"/>
        <v>36</v>
      </c>
      <c r="X17" s="27">
        <f t="shared" si="2"/>
        <v>115000</v>
      </c>
      <c r="Y17" s="27">
        <f t="shared" si="2"/>
        <v>1</v>
      </c>
      <c r="Z17" s="27">
        <f t="shared" si="2"/>
        <v>600</v>
      </c>
      <c r="AA17" s="27">
        <f t="shared" si="0"/>
        <v>14891</v>
      </c>
      <c r="AB17" s="27">
        <f t="shared" si="1"/>
        <v>6221573.23</v>
      </c>
    </row>
    <row r="18" spans="3:21" s="4" customFormat="1" ht="13.5">
      <c r="C18" s="5"/>
      <c r="D18" s="5"/>
      <c r="M18" s="36"/>
      <c r="N18" s="36"/>
      <c r="U18" s="5"/>
    </row>
    <row r="19" spans="3:21" s="4" customFormat="1" ht="13.5">
      <c r="C19" s="5"/>
      <c r="D19" s="5"/>
      <c r="N19" s="33"/>
      <c r="U19" s="5"/>
    </row>
    <row r="20" spans="3:21" s="4" customFormat="1" ht="13.5">
      <c r="C20" s="5"/>
      <c r="D20" s="5"/>
      <c r="U20" s="5"/>
    </row>
    <row r="21" spans="3:21" s="4" customFormat="1" ht="13.5">
      <c r="C21" s="5"/>
      <c r="D21" s="5"/>
      <c r="U21" s="5"/>
    </row>
    <row r="22" spans="3:21" s="4" customFormat="1" ht="13.5">
      <c r="C22" s="5"/>
      <c r="D22" s="5"/>
      <c r="L22" s="33"/>
      <c r="U22" s="5"/>
    </row>
    <row r="23" spans="3:21" s="4" customFormat="1" ht="13.5">
      <c r="C23" s="5"/>
      <c r="D23" s="5"/>
      <c r="U23" s="5"/>
    </row>
    <row r="24" spans="3:21" s="4" customFormat="1" ht="13.5">
      <c r="C24" s="5"/>
      <c r="D24" s="5"/>
      <c r="U24" s="5"/>
    </row>
    <row r="25" spans="3:21" s="4" customFormat="1" ht="13.5">
      <c r="C25" s="5"/>
      <c r="D25" s="5"/>
      <c r="U25" s="5"/>
    </row>
    <row r="26" spans="3:21" s="4" customFormat="1" ht="13.5">
      <c r="C26" s="5"/>
      <c r="D26" s="5"/>
      <c r="U26" s="5"/>
    </row>
    <row r="27" spans="3:21" s="4" customFormat="1" ht="13.5">
      <c r="C27" s="5"/>
      <c r="D27" s="5"/>
      <c r="U27" s="5"/>
    </row>
    <row r="28" spans="3:21" s="4" customFormat="1" ht="13.5">
      <c r="C28" s="5"/>
      <c r="D28" s="5"/>
      <c r="U28" s="5"/>
    </row>
    <row r="29" spans="3:21" s="4" customFormat="1" ht="13.5">
      <c r="C29" s="5"/>
      <c r="D29" s="5"/>
      <c r="U29" s="5"/>
    </row>
    <row r="30" spans="3:21" s="4" customFormat="1" ht="13.5">
      <c r="C30" s="5"/>
      <c r="D30" s="5"/>
      <c r="U30" s="5"/>
    </row>
    <row r="31" spans="3:21" s="4" customFormat="1" ht="13.5">
      <c r="C31" s="5"/>
      <c r="D31" s="5"/>
      <c r="U31" s="5"/>
    </row>
    <row r="32" spans="3:21" s="4" customFormat="1" ht="13.5">
      <c r="C32" s="5"/>
      <c r="D32" s="5"/>
      <c r="U32" s="5"/>
    </row>
    <row r="33" spans="3:21" s="4" customFormat="1" ht="13.5">
      <c r="C33" s="5"/>
      <c r="D33" s="5"/>
      <c r="U33" s="5"/>
    </row>
    <row r="34" spans="3:21" s="4" customFormat="1" ht="13.5">
      <c r="C34" s="5"/>
      <c r="D34" s="5"/>
      <c r="U34" s="5"/>
    </row>
    <row r="35" spans="3:21" s="4" customFormat="1" ht="13.5">
      <c r="C35" s="5"/>
      <c r="D35" s="5"/>
      <c r="U35" s="5"/>
    </row>
    <row r="36" spans="3:21" s="4" customFormat="1" ht="13.5">
      <c r="C36" s="5"/>
      <c r="D36" s="5"/>
      <c r="U36" s="5"/>
    </row>
    <row r="37" spans="3:21" s="4" customFormat="1" ht="13.5">
      <c r="C37" s="5"/>
      <c r="D37" s="5"/>
      <c r="U37" s="5"/>
    </row>
    <row r="38" spans="3:21" s="4" customFormat="1" ht="13.5">
      <c r="C38" s="5"/>
      <c r="D38" s="5"/>
      <c r="U38" s="5"/>
    </row>
    <row r="39" spans="3:21" s="4" customFormat="1" ht="13.5">
      <c r="C39" s="5"/>
      <c r="D39" s="5"/>
      <c r="U39" s="5"/>
    </row>
    <row r="40" spans="3:21" s="4" customFormat="1" ht="13.5">
      <c r="C40" s="5"/>
      <c r="D40" s="5"/>
      <c r="U40" s="5"/>
    </row>
  </sheetData>
  <sheetProtection/>
  <mergeCells count="14">
    <mergeCell ref="A1:AB1"/>
    <mergeCell ref="B3:D3"/>
    <mergeCell ref="E3:F3"/>
    <mergeCell ref="G3:H3"/>
    <mergeCell ref="I3:J3"/>
    <mergeCell ref="K3:L3"/>
    <mergeCell ref="M3:N3"/>
    <mergeCell ref="O3:P3"/>
    <mergeCell ref="Q3:R3"/>
    <mergeCell ref="S3:T3"/>
    <mergeCell ref="U3:V3"/>
    <mergeCell ref="W3:X3"/>
    <mergeCell ref="Y3:Z3"/>
    <mergeCell ref="AA3:AB3"/>
  </mergeCells>
  <printOptions/>
  <pageMargins left="0.27" right="0.34" top="0.78" bottom="0.73" header="0.5" footer="0.5"/>
  <pageSetup horizontalDpi="600" verticalDpi="600" orientation="landscape" paperSize="9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40"/>
  <sheetViews>
    <sheetView zoomScale="130" zoomScaleNormal="130" workbookViewId="0" topLeftCell="J1">
      <pane ySplit="4" topLeftCell="A17" activePane="bottomLeft" state="frozen"/>
      <selection pane="bottomLeft" activeCell="T14" sqref="T14"/>
    </sheetView>
  </sheetViews>
  <sheetFormatPr defaultColWidth="9.00390625" defaultRowHeight="14.25"/>
  <cols>
    <col min="1" max="1" width="4.375" style="0" customWidth="1"/>
    <col min="2" max="2" width="3.50390625" style="0" customWidth="1"/>
    <col min="3" max="3" width="3.50390625" style="5" customWidth="1"/>
    <col min="4" max="4" width="5.50390625" style="5" customWidth="1"/>
    <col min="5" max="5" width="3.00390625" style="0" customWidth="1"/>
    <col min="6" max="6" width="5.00390625" style="0" customWidth="1"/>
    <col min="7" max="7" width="3.625" style="0" customWidth="1"/>
    <col min="8" max="8" width="7.00390625" style="0" customWidth="1"/>
    <col min="9" max="9" width="3.375" style="0" customWidth="1"/>
    <col min="10" max="10" width="5.125" style="0" customWidth="1"/>
    <col min="11" max="11" width="2.875" style="0" customWidth="1"/>
    <col min="12" max="12" width="5.75390625" style="0" customWidth="1"/>
    <col min="13" max="13" width="3.625" style="0" customWidth="1"/>
    <col min="14" max="14" width="5.50390625" style="0" customWidth="1"/>
    <col min="15" max="15" width="3.375" style="0" customWidth="1"/>
    <col min="16" max="16" width="5.625" style="0" customWidth="1"/>
    <col min="17" max="17" width="3.875" style="0" customWidth="1"/>
    <col min="18" max="18" width="4.875" style="0" customWidth="1"/>
    <col min="19" max="19" width="3.25390625" style="0" customWidth="1"/>
    <col min="20" max="20" width="5.50390625" style="0" customWidth="1"/>
    <col min="21" max="21" width="3.375" style="5" customWidth="1"/>
    <col min="22" max="22" width="6.125" style="0" customWidth="1"/>
    <col min="23" max="23" width="3.00390625" style="0" customWidth="1"/>
    <col min="24" max="27" width="4.375" style="0" customWidth="1"/>
    <col min="28" max="28" width="9.875" style="0" customWidth="1"/>
  </cols>
  <sheetData>
    <row r="1" spans="1:28" ht="37.5" customHeight="1">
      <c r="A1" s="20" t="s">
        <v>34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</row>
    <row r="2" spans="1:18" ht="15.75" customHeight="1">
      <c r="A2" s="20"/>
      <c r="B2" s="20"/>
      <c r="C2" s="21"/>
      <c r="D2" s="21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</row>
    <row r="3" spans="1:28" s="40" customFormat="1" ht="23.25" customHeight="1">
      <c r="A3" s="41" t="s">
        <v>1</v>
      </c>
      <c r="B3" s="42" t="s">
        <v>2</v>
      </c>
      <c r="C3" s="43"/>
      <c r="D3" s="44"/>
      <c r="E3" s="45" t="s">
        <v>3</v>
      </c>
      <c r="F3" s="45"/>
      <c r="G3" s="45" t="s">
        <v>4</v>
      </c>
      <c r="H3" s="45"/>
      <c r="I3" s="45" t="s">
        <v>5</v>
      </c>
      <c r="J3" s="45"/>
      <c r="K3" s="45" t="s">
        <v>6</v>
      </c>
      <c r="L3" s="45"/>
      <c r="M3" s="45" t="s">
        <v>7</v>
      </c>
      <c r="N3" s="45"/>
      <c r="O3" s="45" t="s">
        <v>9</v>
      </c>
      <c r="P3" s="45"/>
      <c r="Q3" s="45" t="s">
        <v>10</v>
      </c>
      <c r="R3" s="45"/>
      <c r="S3" s="45" t="s">
        <v>11</v>
      </c>
      <c r="T3" s="45"/>
      <c r="U3" s="50" t="s">
        <v>12</v>
      </c>
      <c r="V3" s="51"/>
      <c r="W3" s="50" t="s">
        <v>13</v>
      </c>
      <c r="X3" s="51"/>
      <c r="Y3" s="50" t="s">
        <v>14</v>
      </c>
      <c r="Z3" s="51"/>
      <c r="AA3" s="45" t="s">
        <v>15</v>
      </c>
      <c r="AB3" s="45"/>
    </row>
    <row r="4" spans="1:28" s="40" customFormat="1" ht="23.25" customHeight="1">
      <c r="A4" s="46" t="s">
        <v>16</v>
      </c>
      <c r="B4" s="47" t="s">
        <v>17</v>
      </c>
      <c r="C4" s="45" t="s">
        <v>18</v>
      </c>
      <c r="D4" s="45" t="s">
        <v>19</v>
      </c>
      <c r="E4" s="45" t="s">
        <v>18</v>
      </c>
      <c r="F4" s="45" t="s">
        <v>19</v>
      </c>
      <c r="G4" s="45" t="s">
        <v>18</v>
      </c>
      <c r="H4" s="45" t="s">
        <v>19</v>
      </c>
      <c r="I4" s="45" t="s">
        <v>18</v>
      </c>
      <c r="J4" s="45" t="s">
        <v>19</v>
      </c>
      <c r="K4" s="45" t="s">
        <v>18</v>
      </c>
      <c r="L4" s="45" t="s">
        <v>19</v>
      </c>
      <c r="M4" s="45" t="s">
        <v>18</v>
      </c>
      <c r="N4" s="45" t="s">
        <v>19</v>
      </c>
      <c r="O4" s="45" t="s">
        <v>18</v>
      </c>
      <c r="P4" s="45" t="s">
        <v>19</v>
      </c>
      <c r="Q4" s="45" t="s">
        <v>18</v>
      </c>
      <c r="R4" s="45" t="s">
        <v>19</v>
      </c>
      <c r="S4" s="45" t="s">
        <v>18</v>
      </c>
      <c r="T4" s="45" t="s">
        <v>19</v>
      </c>
      <c r="U4" s="45" t="s">
        <v>18</v>
      </c>
      <c r="V4" s="45" t="s">
        <v>19</v>
      </c>
      <c r="W4" s="45" t="s">
        <v>18</v>
      </c>
      <c r="X4" s="45" t="s">
        <v>19</v>
      </c>
      <c r="Y4" s="45" t="s">
        <v>18</v>
      </c>
      <c r="Z4" s="45" t="s">
        <v>19</v>
      </c>
      <c r="AA4" s="45" t="s">
        <v>18</v>
      </c>
      <c r="AB4" s="45" t="s">
        <v>19</v>
      </c>
    </row>
    <row r="5" spans="1:28" s="1" customFormat="1" ht="26.25" customHeight="1">
      <c r="A5" s="27" t="s">
        <v>20</v>
      </c>
      <c r="B5" s="27">
        <v>362</v>
      </c>
      <c r="C5" s="27">
        <v>564</v>
      </c>
      <c r="D5" s="27">
        <v>284904</v>
      </c>
      <c r="E5" s="27">
        <v>1</v>
      </c>
      <c r="F5" s="27">
        <v>832</v>
      </c>
      <c r="G5" s="27">
        <v>62</v>
      </c>
      <c r="H5" s="27">
        <f>62*832+62*30</f>
        <v>53444</v>
      </c>
      <c r="I5" s="27">
        <v>209</v>
      </c>
      <c r="J5" s="27">
        <v>12639</v>
      </c>
      <c r="K5" s="27">
        <v>6</v>
      </c>
      <c r="L5" s="27">
        <v>10630</v>
      </c>
      <c r="M5" s="48">
        <v>118</v>
      </c>
      <c r="N5" s="48">
        <v>51900</v>
      </c>
      <c r="O5" s="27">
        <v>67</v>
      </c>
      <c r="P5" s="27">
        <f>67*110</f>
        <v>7370</v>
      </c>
      <c r="Q5" s="27">
        <v>1652</v>
      </c>
      <c r="R5" s="27">
        <v>559050</v>
      </c>
      <c r="S5" s="27"/>
      <c r="T5" s="27"/>
      <c r="U5" s="27">
        <v>1</v>
      </c>
      <c r="V5" s="27">
        <v>1716</v>
      </c>
      <c r="W5" s="27">
        <v>15</v>
      </c>
      <c r="X5" s="27">
        <v>39000</v>
      </c>
      <c r="Y5" s="27">
        <v>480</v>
      </c>
      <c r="Z5" s="27">
        <v>210000</v>
      </c>
      <c r="AA5" s="27">
        <f aca="true" t="shared" si="0" ref="AA5:AA17">C5+E5+G5+I5+K5+M5+O5+Q5+S5+U5+W5+Y5</f>
        <v>3175</v>
      </c>
      <c r="AB5" s="27">
        <f aca="true" t="shared" si="1" ref="AB5:AB17">Z5+X5+V5+T5+R5+P5+N5+L5+J5+H5+F5+D5</f>
        <v>1231485</v>
      </c>
    </row>
    <row r="6" spans="1:28" s="1" customFormat="1" ht="26.25" customHeight="1">
      <c r="A6" s="27" t="s">
        <v>21</v>
      </c>
      <c r="B6" s="27">
        <v>362</v>
      </c>
      <c r="C6" s="27">
        <v>564</v>
      </c>
      <c r="D6" s="27">
        <v>284171</v>
      </c>
      <c r="E6" s="27">
        <v>1</v>
      </c>
      <c r="F6" s="27">
        <v>832</v>
      </c>
      <c r="G6" s="27">
        <v>61</v>
      </c>
      <c r="H6" s="27">
        <f>61*832+61*30</f>
        <v>52582</v>
      </c>
      <c r="I6" s="27">
        <v>208</v>
      </c>
      <c r="J6" s="27">
        <f>187*65+21*22</f>
        <v>12617</v>
      </c>
      <c r="K6" s="27">
        <v>3</v>
      </c>
      <c r="L6" s="27">
        <v>20670</v>
      </c>
      <c r="M6" s="48">
        <v>38</v>
      </c>
      <c r="N6" s="48">
        <v>12850</v>
      </c>
      <c r="O6" s="27"/>
      <c r="P6" s="27"/>
      <c r="Q6" s="27"/>
      <c r="R6" s="27"/>
      <c r="S6" s="27"/>
      <c r="T6" s="27"/>
      <c r="U6" s="27"/>
      <c r="V6" s="27"/>
      <c r="W6" s="27">
        <v>2</v>
      </c>
      <c r="X6" s="27">
        <v>8000</v>
      </c>
      <c r="Y6" s="27"/>
      <c r="Z6" s="27"/>
      <c r="AA6" s="27">
        <f t="shared" si="0"/>
        <v>877</v>
      </c>
      <c r="AB6" s="27">
        <f t="shared" si="1"/>
        <v>391722</v>
      </c>
    </row>
    <row r="7" spans="1:28" s="1" customFormat="1" ht="26.25" customHeight="1">
      <c r="A7" s="27" t="s">
        <v>22</v>
      </c>
      <c r="B7" s="27">
        <v>356</v>
      </c>
      <c r="C7" s="27">
        <v>551</v>
      </c>
      <c r="D7" s="27">
        <v>277377</v>
      </c>
      <c r="E7" s="27">
        <v>1</v>
      </c>
      <c r="F7" s="27">
        <v>832</v>
      </c>
      <c r="G7" s="27">
        <v>61</v>
      </c>
      <c r="H7" s="27">
        <f>61*832+61*30</f>
        <v>52582</v>
      </c>
      <c r="I7" s="27">
        <f>188+22</f>
        <v>210</v>
      </c>
      <c r="J7" s="27">
        <f>188*65+22*22</f>
        <v>12704</v>
      </c>
      <c r="K7" s="27">
        <v>4</v>
      </c>
      <c r="L7" s="27">
        <v>13780</v>
      </c>
      <c r="M7" s="27">
        <v>52</v>
      </c>
      <c r="N7" s="27">
        <v>17010</v>
      </c>
      <c r="O7" s="27"/>
      <c r="P7" s="27"/>
      <c r="Q7" s="27"/>
      <c r="R7" s="27"/>
      <c r="S7" s="27">
        <v>145</v>
      </c>
      <c r="T7" s="27">
        <v>94415</v>
      </c>
      <c r="U7" s="27">
        <f>168+122</f>
        <v>290</v>
      </c>
      <c r="V7" s="27">
        <f>38048.85+10980</f>
        <v>49028.85</v>
      </c>
      <c r="W7" s="27"/>
      <c r="X7" s="27"/>
      <c r="Y7" s="27"/>
      <c r="Z7" s="27"/>
      <c r="AA7" s="27">
        <f t="shared" si="0"/>
        <v>1314</v>
      </c>
      <c r="AB7" s="39">
        <f t="shared" si="1"/>
        <v>517728.85</v>
      </c>
    </row>
    <row r="8" spans="1:28" s="1" customFormat="1" ht="26.25" customHeight="1">
      <c r="A8" s="27" t="s">
        <v>23</v>
      </c>
      <c r="B8" s="27">
        <v>355</v>
      </c>
      <c r="C8" s="27">
        <f>130+189+232</f>
        <v>551</v>
      </c>
      <c r="D8" s="27">
        <v>308697</v>
      </c>
      <c r="E8" s="27">
        <v>1</v>
      </c>
      <c r="F8" s="27">
        <v>930</v>
      </c>
      <c r="G8" s="27">
        <v>59</v>
      </c>
      <c r="H8" s="27">
        <f aca="true" t="shared" si="2" ref="H8:H16">59*930+59*30</f>
        <v>56640</v>
      </c>
      <c r="I8" s="27">
        <f>188+21</f>
        <v>209</v>
      </c>
      <c r="J8" s="27">
        <f>188*65+18*22</f>
        <v>12616</v>
      </c>
      <c r="K8" s="27">
        <v>2</v>
      </c>
      <c r="L8" s="27">
        <v>1790</v>
      </c>
      <c r="M8" s="27">
        <v>109</v>
      </c>
      <c r="N8" s="27">
        <v>36580</v>
      </c>
      <c r="O8" s="27">
        <v>1</v>
      </c>
      <c r="P8" s="27">
        <v>2500</v>
      </c>
      <c r="Q8" s="27"/>
      <c r="R8" s="27"/>
      <c r="S8" s="27"/>
      <c r="T8" s="27"/>
      <c r="U8" s="27"/>
      <c r="V8" s="27"/>
      <c r="W8" s="27">
        <v>2</v>
      </c>
      <c r="X8" s="27">
        <f>3000+2500</f>
        <v>5500</v>
      </c>
      <c r="Y8" s="27"/>
      <c r="Z8" s="27"/>
      <c r="AA8" s="27">
        <f t="shared" si="0"/>
        <v>934</v>
      </c>
      <c r="AB8" s="27">
        <f t="shared" si="1"/>
        <v>425253</v>
      </c>
    </row>
    <row r="9" spans="1:28" s="1" customFormat="1" ht="26.25" customHeight="1">
      <c r="A9" s="27" t="s">
        <v>24</v>
      </c>
      <c r="B9" s="27">
        <v>357</v>
      </c>
      <c r="C9" s="27">
        <v>557</v>
      </c>
      <c r="D9" s="27">
        <v>312214</v>
      </c>
      <c r="E9" s="27">
        <v>1</v>
      </c>
      <c r="F9" s="27">
        <v>930</v>
      </c>
      <c r="G9" s="27">
        <v>60</v>
      </c>
      <c r="H9" s="27">
        <f>G9*930+G9*30</f>
        <v>57600</v>
      </c>
      <c r="I9" s="27">
        <f>192+21</f>
        <v>213</v>
      </c>
      <c r="J9" s="27">
        <f>192*65+21*22</f>
        <v>12942</v>
      </c>
      <c r="K9" s="27">
        <v>4</v>
      </c>
      <c r="L9" s="27">
        <v>12440</v>
      </c>
      <c r="M9" s="27">
        <v>74</v>
      </c>
      <c r="N9" s="27">
        <v>24567</v>
      </c>
      <c r="O9" s="27"/>
      <c r="P9" s="35"/>
      <c r="Q9" s="35"/>
      <c r="R9" s="35"/>
      <c r="S9" s="27"/>
      <c r="T9" s="27"/>
      <c r="U9" s="27">
        <v>1</v>
      </c>
      <c r="V9" s="27">
        <v>1000</v>
      </c>
      <c r="W9" s="27">
        <v>1</v>
      </c>
      <c r="X9" s="27">
        <v>3000</v>
      </c>
      <c r="Y9" s="27"/>
      <c r="Z9" s="27"/>
      <c r="AA9" s="27">
        <f t="shared" si="0"/>
        <v>911</v>
      </c>
      <c r="AB9" s="27">
        <f t="shared" si="1"/>
        <v>424693</v>
      </c>
    </row>
    <row r="10" spans="1:28" s="1" customFormat="1" ht="26.25" customHeight="1">
      <c r="A10" s="27" t="s">
        <v>25</v>
      </c>
      <c r="B10" s="27">
        <v>359</v>
      </c>
      <c r="C10" s="27">
        <v>565</v>
      </c>
      <c r="D10" s="27">
        <v>314866</v>
      </c>
      <c r="E10" s="27">
        <v>1</v>
      </c>
      <c r="F10" s="27">
        <v>930</v>
      </c>
      <c r="G10" s="27">
        <v>59</v>
      </c>
      <c r="H10" s="27">
        <v>56640</v>
      </c>
      <c r="I10" s="27">
        <f>196+22</f>
        <v>218</v>
      </c>
      <c r="J10" s="27">
        <f>196*65+22*22</f>
        <v>13224</v>
      </c>
      <c r="K10" s="27">
        <v>5</v>
      </c>
      <c r="L10" s="27">
        <f>19830</f>
        <v>19830</v>
      </c>
      <c r="M10" s="27">
        <v>41</v>
      </c>
      <c r="N10" s="27">
        <v>14050</v>
      </c>
      <c r="O10" s="27"/>
      <c r="P10" s="27"/>
      <c r="Q10" s="27"/>
      <c r="R10" s="27"/>
      <c r="S10" s="27">
        <v>151</v>
      </c>
      <c r="T10" s="27">
        <v>61325</v>
      </c>
      <c r="U10" s="27">
        <v>3</v>
      </c>
      <c r="V10" s="27">
        <f>211.8+1809+568</f>
        <v>2588.8</v>
      </c>
      <c r="W10" s="27"/>
      <c r="X10" s="27"/>
      <c r="Y10" s="27"/>
      <c r="Z10" s="27"/>
      <c r="AA10" s="27">
        <f t="shared" si="0"/>
        <v>1043</v>
      </c>
      <c r="AB10" s="27">
        <f t="shared" si="1"/>
        <v>483453.8</v>
      </c>
    </row>
    <row r="11" spans="1:28" s="1" customFormat="1" ht="26.25" customHeight="1">
      <c r="A11" s="27" t="s">
        <v>26</v>
      </c>
      <c r="B11" s="27">
        <v>356</v>
      </c>
      <c r="C11" s="27">
        <v>562</v>
      </c>
      <c r="D11" s="27">
        <v>313861</v>
      </c>
      <c r="E11" s="27">
        <v>1</v>
      </c>
      <c r="F11" s="27">
        <v>930</v>
      </c>
      <c r="G11" s="27">
        <v>60</v>
      </c>
      <c r="H11" s="27">
        <f>60*930+60*30</f>
        <v>57600</v>
      </c>
      <c r="I11" s="27">
        <f>198+24</f>
        <v>222</v>
      </c>
      <c r="J11" s="27">
        <f>198*65+24*22</f>
        <v>13398</v>
      </c>
      <c r="K11" s="27">
        <v>4</v>
      </c>
      <c r="L11" s="27">
        <v>5010</v>
      </c>
      <c r="M11" s="27">
        <f>27+68</f>
        <v>95</v>
      </c>
      <c r="N11" s="27">
        <f>11520+34000</f>
        <v>45520</v>
      </c>
      <c r="O11" s="27"/>
      <c r="P11" s="27"/>
      <c r="Q11" s="27"/>
      <c r="R11" s="27"/>
      <c r="S11" s="27"/>
      <c r="T11" s="27"/>
      <c r="U11" s="27">
        <v>1</v>
      </c>
      <c r="V11" s="27">
        <v>500</v>
      </c>
      <c r="W11" s="27">
        <v>2</v>
      </c>
      <c r="X11" s="27">
        <f>3000+5000</f>
        <v>8000</v>
      </c>
      <c r="Y11" s="27"/>
      <c r="Z11" s="27"/>
      <c r="AA11" s="27">
        <f t="shared" si="0"/>
        <v>947</v>
      </c>
      <c r="AB11" s="27">
        <f t="shared" si="1"/>
        <v>444819</v>
      </c>
    </row>
    <row r="12" spans="1:28" s="1" customFormat="1" ht="26.25" customHeight="1">
      <c r="A12" s="27" t="s">
        <v>27</v>
      </c>
      <c r="B12" s="27">
        <v>341</v>
      </c>
      <c r="C12" s="27">
        <f>115+420</f>
        <v>535</v>
      </c>
      <c r="D12" s="27">
        <v>300346</v>
      </c>
      <c r="E12" s="27">
        <v>1</v>
      </c>
      <c r="F12" s="27">
        <v>930</v>
      </c>
      <c r="G12" s="27">
        <v>59</v>
      </c>
      <c r="H12" s="27">
        <f t="shared" si="2"/>
        <v>56640</v>
      </c>
      <c r="I12" s="27">
        <v>213</v>
      </c>
      <c r="J12" s="27">
        <f>189*65+24*21</f>
        <v>12789</v>
      </c>
      <c r="K12" s="27">
        <v>4</v>
      </c>
      <c r="L12" s="27">
        <v>6240</v>
      </c>
      <c r="M12" s="27">
        <v>63</v>
      </c>
      <c r="N12" s="27">
        <v>27390</v>
      </c>
      <c r="O12" s="49">
        <f>64+6+21+8+19</f>
        <v>118</v>
      </c>
      <c r="P12" s="27">
        <f>21*5000+8*3000+6*1500+11200+64*5*110</f>
        <v>184400</v>
      </c>
      <c r="Q12" s="27"/>
      <c r="R12" s="27"/>
      <c r="S12" s="27"/>
      <c r="T12" s="27"/>
      <c r="U12" s="27">
        <f>1+1</f>
        <v>2</v>
      </c>
      <c r="V12" s="27">
        <f>500+5000</f>
        <v>5500</v>
      </c>
      <c r="W12" s="35">
        <v>1</v>
      </c>
      <c r="X12" s="35">
        <v>3000</v>
      </c>
      <c r="Y12" s="27"/>
      <c r="Z12" s="27"/>
      <c r="AA12" s="27">
        <f t="shared" si="0"/>
        <v>996</v>
      </c>
      <c r="AB12" s="27">
        <f>Z12+X12+V12+T12+R12+P12+N12+L12+J12+H12+F12+D12-11200</f>
        <v>586035</v>
      </c>
    </row>
    <row r="13" spans="1:28" s="1" customFormat="1" ht="26.25" customHeight="1">
      <c r="A13" s="27" t="s">
        <v>28</v>
      </c>
      <c r="B13" s="27">
        <v>337</v>
      </c>
      <c r="C13" s="27">
        <v>527</v>
      </c>
      <c r="D13" s="27">
        <v>298356</v>
      </c>
      <c r="E13" s="27">
        <v>1</v>
      </c>
      <c r="F13" s="27">
        <v>930</v>
      </c>
      <c r="G13" s="27">
        <v>59</v>
      </c>
      <c r="H13" s="27">
        <f t="shared" si="2"/>
        <v>56640</v>
      </c>
      <c r="I13" s="27">
        <f>190+24</f>
        <v>214</v>
      </c>
      <c r="J13" s="27">
        <f>190*65+24*22</f>
        <v>12878</v>
      </c>
      <c r="K13" s="27">
        <v>2</v>
      </c>
      <c r="L13" s="27">
        <v>2600</v>
      </c>
      <c r="M13" s="27">
        <v>97</v>
      </c>
      <c r="N13" s="27">
        <v>35030</v>
      </c>
      <c r="O13" s="27">
        <v>3</v>
      </c>
      <c r="P13" s="27">
        <v>13000</v>
      </c>
      <c r="Q13" s="27"/>
      <c r="R13" s="27"/>
      <c r="S13" s="27">
        <v>157</v>
      </c>
      <c r="T13" s="27">
        <v>93734</v>
      </c>
      <c r="U13" s="27">
        <f>1+1</f>
        <v>2</v>
      </c>
      <c r="V13" s="27">
        <f>600+500</f>
        <v>1100</v>
      </c>
      <c r="W13" s="27"/>
      <c r="X13" s="27"/>
      <c r="Y13" s="27"/>
      <c r="Z13" s="27"/>
      <c r="AA13" s="27">
        <f t="shared" si="0"/>
        <v>1062</v>
      </c>
      <c r="AB13" s="27">
        <f t="shared" si="1"/>
        <v>514268</v>
      </c>
    </row>
    <row r="14" spans="1:28" s="1" customFormat="1" ht="26.25" customHeight="1">
      <c r="A14" s="27" t="s">
        <v>29</v>
      </c>
      <c r="B14" s="27">
        <v>336</v>
      </c>
      <c r="C14" s="27">
        <v>530</v>
      </c>
      <c r="D14" s="27">
        <v>295114</v>
      </c>
      <c r="E14" s="27">
        <v>1</v>
      </c>
      <c r="F14" s="27">
        <v>930</v>
      </c>
      <c r="G14" s="27">
        <v>59</v>
      </c>
      <c r="H14" s="27">
        <f t="shared" si="2"/>
        <v>56640</v>
      </c>
      <c r="I14" s="27">
        <f>193+23</f>
        <v>216</v>
      </c>
      <c r="J14" s="27">
        <f>193*65+23*22</f>
        <v>13051</v>
      </c>
      <c r="K14" s="27">
        <v>5</v>
      </c>
      <c r="L14" s="27">
        <v>19780</v>
      </c>
      <c r="M14" s="27">
        <v>51</v>
      </c>
      <c r="N14" s="27">
        <v>18540</v>
      </c>
      <c r="O14" s="27"/>
      <c r="P14" s="27"/>
      <c r="Q14" s="27"/>
      <c r="R14" s="27"/>
      <c r="S14" s="27"/>
      <c r="T14" s="27"/>
      <c r="U14" s="27">
        <v>2</v>
      </c>
      <c r="V14" s="27">
        <v>1200</v>
      </c>
      <c r="W14" s="27">
        <v>1</v>
      </c>
      <c r="X14" s="27">
        <v>5000</v>
      </c>
      <c r="Y14" s="27"/>
      <c r="Z14" s="27"/>
      <c r="AA14" s="27">
        <f t="shared" si="0"/>
        <v>865</v>
      </c>
      <c r="AB14" s="27">
        <f t="shared" si="1"/>
        <v>410255</v>
      </c>
    </row>
    <row r="15" spans="1:28" s="1" customFormat="1" ht="26.25" customHeight="1">
      <c r="A15" s="27" t="s">
        <v>30</v>
      </c>
      <c r="B15" s="27">
        <v>340</v>
      </c>
      <c r="C15" s="27">
        <v>536</v>
      </c>
      <c r="D15" s="27">
        <v>295663</v>
      </c>
      <c r="E15" s="27">
        <v>1</v>
      </c>
      <c r="F15" s="27">
        <v>930</v>
      </c>
      <c r="G15" s="27">
        <v>59</v>
      </c>
      <c r="H15" s="27">
        <f t="shared" si="2"/>
        <v>56640</v>
      </c>
      <c r="I15" s="27">
        <f>193+24</f>
        <v>217</v>
      </c>
      <c r="J15" s="27">
        <f>193*65+24*22</f>
        <v>13073</v>
      </c>
      <c r="K15" s="27"/>
      <c r="L15" s="27"/>
      <c r="M15" s="27">
        <v>39</v>
      </c>
      <c r="N15" s="27">
        <v>14900</v>
      </c>
      <c r="O15" s="27"/>
      <c r="P15" s="27"/>
      <c r="Q15" s="27"/>
      <c r="R15" s="27"/>
      <c r="S15" s="27"/>
      <c r="T15" s="27"/>
      <c r="U15" s="27">
        <v>6</v>
      </c>
      <c r="V15" s="27">
        <v>3116</v>
      </c>
      <c r="W15" s="27">
        <v>2</v>
      </c>
      <c r="X15" s="27">
        <v>7000</v>
      </c>
      <c r="Y15" s="27">
        <v>5</v>
      </c>
      <c r="Z15" s="27">
        <v>25000</v>
      </c>
      <c r="AA15" s="27">
        <f t="shared" si="0"/>
        <v>865</v>
      </c>
      <c r="AB15" s="27">
        <f t="shared" si="1"/>
        <v>416322</v>
      </c>
    </row>
    <row r="16" spans="1:28" s="1" customFormat="1" ht="26.25" customHeight="1">
      <c r="A16" s="27" t="s">
        <v>31</v>
      </c>
      <c r="B16" s="27">
        <v>343</v>
      </c>
      <c r="C16" s="27">
        <v>537</v>
      </c>
      <c r="D16" s="27">
        <v>293433</v>
      </c>
      <c r="E16" s="27">
        <v>1</v>
      </c>
      <c r="F16" s="27">
        <v>930</v>
      </c>
      <c r="G16" s="27">
        <v>59</v>
      </c>
      <c r="H16" s="27">
        <f t="shared" si="2"/>
        <v>56640</v>
      </c>
      <c r="I16" s="27">
        <f>196+24</f>
        <v>220</v>
      </c>
      <c r="J16" s="27">
        <f>196*65+24*22</f>
        <v>13268</v>
      </c>
      <c r="K16" s="27">
        <v>9</v>
      </c>
      <c r="L16" s="27">
        <v>29253</v>
      </c>
      <c r="M16" s="27">
        <v>43</v>
      </c>
      <c r="N16" s="27">
        <v>18300</v>
      </c>
      <c r="O16" s="27"/>
      <c r="P16" s="27"/>
      <c r="Q16" s="27"/>
      <c r="R16" s="27"/>
      <c r="S16" s="27">
        <v>166</v>
      </c>
      <c r="T16" s="27">
        <v>152044</v>
      </c>
      <c r="U16" s="27">
        <f>11+1+2+5</f>
        <v>19</v>
      </c>
      <c r="V16" s="27">
        <f>6600+1200+1000+1800+2538.2</f>
        <v>13138.2</v>
      </c>
      <c r="W16" s="27">
        <v>3</v>
      </c>
      <c r="X16" s="27">
        <v>10500</v>
      </c>
      <c r="Y16" s="27"/>
      <c r="Z16" s="27"/>
      <c r="AA16" s="27">
        <f t="shared" si="0"/>
        <v>1057</v>
      </c>
      <c r="AB16" s="27">
        <f t="shared" si="1"/>
        <v>587506.2</v>
      </c>
    </row>
    <row r="17" spans="1:28" s="1" customFormat="1" ht="26.25" customHeight="1">
      <c r="A17" s="27" t="s">
        <v>32</v>
      </c>
      <c r="B17" s="27">
        <f>SUM(B5:B16)</f>
        <v>4204</v>
      </c>
      <c r="C17" s="27">
        <f aca="true" t="shared" si="3" ref="C17:Z17">SUM(C5:C16)</f>
        <v>6579</v>
      </c>
      <c r="D17" s="27">
        <f t="shared" si="3"/>
        <v>3579002</v>
      </c>
      <c r="E17" s="27">
        <f t="shared" si="3"/>
        <v>12</v>
      </c>
      <c r="F17" s="27">
        <f t="shared" si="3"/>
        <v>10866</v>
      </c>
      <c r="G17" s="27">
        <f t="shared" si="3"/>
        <v>717</v>
      </c>
      <c r="H17" s="27">
        <f t="shared" si="3"/>
        <v>670288</v>
      </c>
      <c r="I17" s="27">
        <f t="shared" si="3"/>
        <v>2569</v>
      </c>
      <c r="J17" s="27">
        <f t="shared" si="3"/>
        <v>155199</v>
      </c>
      <c r="K17" s="27">
        <f t="shared" si="3"/>
        <v>48</v>
      </c>
      <c r="L17" s="27">
        <f t="shared" si="3"/>
        <v>142023</v>
      </c>
      <c r="M17" s="27">
        <f t="shared" si="3"/>
        <v>820</v>
      </c>
      <c r="N17" s="27">
        <f t="shared" si="3"/>
        <v>316637</v>
      </c>
      <c r="O17" s="27">
        <f t="shared" si="3"/>
        <v>189</v>
      </c>
      <c r="P17" s="27">
        <f t="shared" si="3"/>
        <v>207270</v>
      </c>
      <c r="Q17" s="27">
        <f t="shared" si="3"/>
        <v>1652</v>
      </c>
      <c r="R17" s="27">
        <f t="shared" si="3"/>
        <v>559050</v>
      </c>
      <c r="S17" s="27">
        <f t="shared" si="3"/>
        <v>619</v>
      </c>
      <c r="T17" s="27">
        <f t="shared" si="3"/>
        <v>401518</v>
      </c>
      <c r="U17" s="27">
        <f t="shared" si="3"/>
        <v>327</v>
      </c>
      <c r="V17" s="27">
        <f t="shared" si="3"/>
        <v>78887.84999999999</v>
      </c>
      <c r="W17" s="27">
        <f t="shared" si="3"/>
        <v>29</v>
      </c>
      <c r="X17" s="27">
        <f t="shared" si="3"/>
        <v>89000</v>
      </c>
      <c r="Y17" s="27">
        <f t="shared" si="3"/>
        <v>485</v>
      </c>
      <c r="Z17" s="27">
        <f t="shared" si="3"/>
        <v>235000</v>
      </c>
      <c r="AA17" s="27">
        <f t="shared" si="0"/>
        <v>14046</v>
      </c>
      <c r="AB17" s="39">
        <f t="shared" si="1"/>
        <v>6444740.85</v>
      </c>
    </row>
    <row r="18" spans="3:21" s="4" customFormat="1" ht="13.5">
      <c r="C18" s="5"/>
      <c r="D18" s="5"/>
      <c r="M18" s="36"/>
      <c r="N18" s="36"/>
      <c r="U18" s="5"/>
    </row>
    <row r="19" spans="3:21" s="4" customFormat="1" ht="13.5">
      <c r="C19" s="5"/>
      <c r="D19" s="5"/>
      <c r="N19" s="33"/>
      <c r="U19" s="5"/>
    </row>
    <row r="20" spans="3:21" s="4" customFormat="1" ht="13.5">
      <c r="C20" s="5"/>
      <c r="D20" s="5"/>
      <c r="U20" s="5"/>
    </row>
    <row r="21" spans="3:21" s="4" customFormat="1" ht="13.5">
      <c r="C21" s="5"/>
      <c r="D21" s="5"/>
      <c r="U21" s="5"/>
    </row>
    <row r="22" spans="3:21" s="4" customFormat="1" ht="13.5">
      <c r="C22" s="5"/>
      <c r="D22" s="5"/>
      <c r="L22" s="33"/>
      <c r="U22" s="5"/>
    </row>
    <row r="23" spans="3:21" s="4" customFormat="1" ht="13.5">
      <c r="C23" s="5"/>
      <c r="D23" s="5"/>
      <c r="U23" s="5"/>
    </row>
    <row r="24" spans="3:21" s="4" customFormat="1" ht="13.5">
      <c r="C24" s="5"/>
      <c r="D24" s="5"/>
      <c r="U24" s="5"/>
    </row>
    <row r="25" spans="3:21" s="4" customFormat="1" ht="13.5">
      <c r="C25" s="5"/>
      <c r="D25" s="5"/>
      <c r="U25" s="5"/>
    </row>
    <row r="26" spans="3:21" s="4" customFormat="1" ht="13.5">
      <c r="C26" s="5"/>
      <c r="D26" s="5"/>
      <c r="U26" s="5"/>
    </row>
    <row r="27" spans="3:21" s="4" customFormat="1" ht="13.5">
      <c r="C27" s="5"/>
      <c r="D27" s="5"/>
      <c r="U27" s="5"/>
    </row>
    <row r="28" spans="3:21" s="4" customFormat="1" ht="13.5">
      <c r="C28" s="5"/>
      <c r="D28" s="5"/>
      <c r="U28" s="5"/>
    </row>
    <row r="29" spans="3:21" s="4" customFormat="1" ht="13.5">
      <c r="C29" s="5"/>
      <c r="D29" s="5"/>
      <c r="U29" s="5"/>
    </row>
    <row r="30" spans="3:21" s="4" customFormat="1" ht="13.5">
      <c r="C30" s="5"/>
      <c r="D30" s="5"/>
      <c r="U30" s="5"/>
    </row>
    <row r="31" spans="3:21" s="4" customFormat="1" ht="13.5">
      <c r="C31" s="5"/>
      <c r="D31" s="5"/>
      <c r="U31" s="5"/>
    </row>
    <row r="32" spans="3:21" s="4" customFormat="1" ht="13.5">
      <c r="C32" s="5"/>
      <c r="D32" s="5"/>
      <c r="U32" s="5"/>
    </row>
    <row r="33" spans="3:21" s="4" customFormat="1" ht="13.5">
      <c r="C33" s="5"/>
      <c r="D33" s="5"/>
      <c r="U33" s="5"/>
    </row>
    <row r="34" spans="3:21" s="4" customFormat="1" ht="13.5">
      <c r="C34" s="5"/>
      <c r="D34" s="5"/>
      <c r="U34" s="5"/>
    </row>
    <row r="35" spans="3:21" s="4" customFormat="1" ht="13.5">
      <c r="C35" s="5"/>
      <c r="D35" s="5"/>
      <c r="U35" s="5"/>
    </row>
    <row r="36" spans="3:21" s="4" customFormat="1" ht="13.5">
      <c r="C36" s="5"/>
      <c r="D36" s="5"/>
      <c r="U36" s="5"/>
    </row>
    <row r="37" spans="3:21" s="4" customFormat="1" ht="13.5">
      <c r="C37" s="5"/>
      <c r="D37" s="5"/>
      <c r="U37" s="5"/>
    </row>
    <row r="38" spans="3:21" s="4" customFormat="1" ht="13.5">
      <c r="C38" s="5"/>
      <c r="D38" s="5"/>
      <c r="U38" s="5"/>
    </row>
    <row r="39" spans="3:21" s="4" customFormat="1" ht="13.5">
      <c r="C39" s="5"/>
      <c r="D39" s="5"/>
      <c r="U39" s="5"/>
    </row>
    <row r="40" spans="3:21" s="4" customFormat="1" ht="13.5">
      <c r="C40" s="5"/>
      <c r="D40" s="5"/>
      <c r="U40" s="5"/>
    </row>
  </sheetData>
  <sheetProtection/>
  <mergeCells count="14">
    <mergeCell ref="A1:AB1"/>
    <mergeCell ref="B3:D3"/>
    <mergeCell ref="E3:F3"/>
    <mergeCell ref="G3:H3"/>
    <mergeCell ref="I3:J3"/>
    <mergeCell ref="K3:L3"/>
    <mergeCell ref="M3:N3"/>
    <mergeCell ref="O3:P3"/>
    <mergeCell ref="Q3:R3"/>
    <mergeCell ref="S3:T3"/>
    <mergeCell ref="U3:V3"/>
    <mergeCell ref="W3:X3"/>
    <mergeCell ref="Y3:Z3"/>
    <mergeCell ref="AA3:AB3"/>
  </mergeCells>
  <printOptions/>
  <pageMargins left="0.27" right="0.34" top="0.78" bottom="0.73" header="0.5" footer="0.5"/>
  <pageSetup horizontalDpi="600" verticalDpi="600" orientation="landscape" paperSize="9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H40"/>
  <sheetViews>
    <sheetView workbookViewId="0" topLeftCell="A1">
      <pane ySplit="4" topLeftCell="A5" activePane="bottomLeft" state="frozen"/>
      <selection pane="bottomLeft" activeCell="T19" sqref="T19"/>
    </sheetView>
  </sheetViews>
  <sheetFormatPr defaultColWidth="9.00390625" defaultRowHeight="14.25"/>
  <cols>
    <col min="1" max="1" width="4.00390625" style="0" customWidth="1"/>
    <col min="2" max="2" width="3.25390625" style="0" customWidth="1"/>
    <col min="3" max="3" width="3.25390625" style="5" customWidth="1"/>
    <col min="4" max="4" width="5.50390625" style="5" customWidth="1"/>
    <col min="5" max="5" width="2.75390625" style="0" customWidth="1"/>
    <col min="6" max="6" width="4.625" style="0" customWidth="1"/>
    <col min="7" max="7" width="3.25390625" style="0" customWidth="1"/>
    <col min="8" max="8" width="5.625" style="0" customWidth="1"/>
    <col min="9" max="9" width="2.875" style="0" customWidth="1"/>
    <col min="10" max="10" width="5.125" style="0" customWidth="1"/>
    <col min="11" max="11" width="3.25390625" style="0" customWidth="1"/>
    <col min="12" max="12" width="4.75390625" style="0" customWidth="1"/>
    <col min="13" max="13" width="2.375" style="0" customWidth="1"/>
    <col min="14" max="14" width="5.75390625" style="0" customWidth="1"/>
    <col min="15" max="15" width="2.375" style="0" customWidth="1"/>
    <col min="16" max="16" width="5.00390625" style="0" customWidth="1"/>
    <col min="17" max="17" width="3.125" style="0" customWidth="1"/>
    <col min="18" max="18" width="4.875" style="0" customWidth="1"/>
    <col min="19" max="19" width="2.50390625" style="0" customWidth="1"/>
    <col min="20" max="20" width="4.875" style="0" customWidth="1"/>
    <col min="21" max="21" width="3.625" style="0" customWidth="1"/>
    <col min="22" max="22" width="4.75390625" style="0" customWidth="1"/>
    <col min="23" max="23" width="3.25390625" style="0" customWidth="1"/>
    <col min="24" max="24" width="5.25390625" style="0" customWidth="1"/>
    <col min="25" max="25" width="3.375" style="5" customWidth="1"/>
    <col min="26" max="26" width="5.375" style="0" customWidth="1"/>
    <col min="27" max="27" width="2.75390625" style="0" customWidth="1"/>
    <col min="28" max="28" width="4.375" style="0" customWidth="1"/>
    <col min="29" max="29" width="2.875" style="0" customWidth="1"/>
    <col min="30" max="30" width="4.375" style="0" customWidth="1"/>
    <col min="31" max="31" width="2.125" style="0" customWidth="1"/>
    <col min="32" max="32" width="3.625" style="0" customWidth="1"/>
    <col min="33" max="33" width="4.125" style="0" customWidth="1"/>
    <col min="34" max="34" width="5.625" style="0" customWidth="1"/>
  </cols>
  <sheetData>
    <row r="1" spans="1:34" ht="37.5" customHeight="1">
      <c r="A1" s="20" t="s">
        <v>35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</row>
    <row r="2" spans="1:22" ht="15.75" customHeight="1">
      <c r="A2" s="20"/>
      <c r="B2" s="20"/>
      <c r="C2" s="21"/>
      <c r="D2" s="21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</row>
    <row r="3" spans="1:34" s="1" customFormat="1" ht="23.25" customHeight="1">
      <c r="A3" s="23" t="s">
        <v>36</v>
      </c>
      <c r="B3" s="24" t="s">
        <v>2</v>
      </c>
      <c r="C3" s="25"/>
      <c r="D3" s="26"/>
      <c r="E3" s="27" t="s">
        <v>3</v>
      </c>
      <c r="F3" s="27"/>
      <c r="G3" s="27" t="s">
        <v>4</v>
      </c>
      <c r="H3" s="27"/>
      <c r="I3" s="27" t="s">
        <v>5</v>
      </c>
      <c r="J3" s="27"/>
      <c r="K3" s="27" t="s">
        <v>37</v>
      </c>
      <c r="L3" s="27"/>
      <c r="M3" s="27" t="s">
        <v>38</v>
      </c>
      <c r="N3" s="27"/>
      <c r="O3" s="30" t="s">
        <v>39</v>
      </c>
      <c r="P3" s="31"/>
      <c r="Q3" s="27" t="s">
        <v>7</v>
      </c>
      <c r="R3" s="27"/>
      <c r="S3" s="27" t="s">
        <v>9</v>
      </c>
      <c r="T3" s="27"/>
      <c r="U3" s="27" t="s">
        <v>10</v>
      </c>
      <c r="V3" s="27"/>
      <c r="W3" s="27" t="s">
        <v>11</v>
      </c>
      <c r="X3" s="27"/>
      <c r="Y3" s="30" t="s">
        <v>14</v>
      </c>
      <c r="Z3" s="31"/>
      <c r="AA3" s="30" t="s">
        <v>13</v>
      </c>
      <c r="AB3" s="31"/>
      <c r="AC3" s="30" t="s">
        <v>40</v>
      </c>
      <c r="AD3" s="31"/>
      <c r="AE3" s="30" t="s">
        <v>12</v>
      </c>
      <c r="AF3" s="31"/>
      <c r="AG3" s="27" t="s">
        <v>15</v>
      </c>
      <c r="AH3" s="27"/>
    </row>
    <row r="4" spans="1:34" s="1" customFormat="1" ht="23.25" customHeight="1">
      <c r="A4" s="28" t="s">
        <v>16</v>
      </c>
      <c r="B4" s="29" t="s">
        <v>17</v>
      </c>
      <c r="C4" s="27" t="s">
        <v>18</v>
      </c>
      <c r="D4" s="27" t="s">
        <v>19</v>
      </c>
      <c r="E4" s="27" t="s">
        <v>18</v>
      </c>
      <c r="F4" s="27" t="s">
        <v>19</v>
      </c>
      <c r="G4" s="27" t="s">
        <v>18</v>
      </c>
      <c r="H4" s="27" t="s">
        <v>19</v>
      </c>
      <c r="I4" s="27" t="s">
        <v>18</v>
      </c>
      <c r="J4" s="27" t="s">
        <v>19</v>
      </c>
      <c r="K4" s="27" t="s">
        <v>18</v>
      </c>
      <c r="L4" s="27" t="s">
        <v>19</v>
      </c>
      <c r="M4" s="27" t="s">
        <v>18</v>
      </c>
      <c r="N4" s="27" t="s">
        <v>19</v>
      </c>
      <c r="O4" s="27" t="s">
        <v>18</v>
      </c>
      <c r="P4" s="27" t="s">
        <v>19</v>
      </c>
      <c r="Q4" s="27" t="s">
        <v>18</v>
      </c>
      <c r="R4" s="27" t="s">
        <v>19</v>
      </c>
      <c r="S4" s="27" t="s">
        <v>18</v>
      </c>
      <c r="T4" s="27" t="s">
        <v>19</v>
      </c>
      <c r="U4" s="27" t="s">
        <v>18</v>
      </c>
      <c r="V4" s="27" t="s">
        <v>19</v>
      </c>
      <c r="W4" s="27" t="s">
        <v>18</v>
      </c>
      <c r="X4" s="27" t="s">
        <v>19</v>
      </c>
      <c r="Y4" s="27" t="s">
        <v>18</v>
      </c>
      <c r="Z4" s="27" t="s">
        <v>19</v>
      </c>
      <c r="AA4" s="27" t="s">
        <v>18</v>
      </c>
      <c r="AB4" s="27" t="s">
        <v>19</v>
      </c>
      <c r="AC4" s="27" t="s">
        <v>18</v>
      </c>
      <c r="AD4" s="27" t="s">
        <v>19</v>
      </c>
      <c r="AE4" s="27"/>
      <c r="AF4" s="27"/>
      <c r="AG4" s="27" t="s">
        <v>18</v>
      </c>
      <c r="AH4" s="27" t="s">
        <v>19</v>
      </c>
    </row>
    <row r="5" spans="1:34" s="1" customFormat="1" ht="26.25" customHeight="1">
      <c r="A5" s="27" t="s">
        <v>20</v>
      </c>
      <c r="B5" s="27">
        <v>352</v>
      </c>
      <c r="C5" s="27">
        <v>548</v>
      </c>
      <c r="D5" s="27">
        <v>297785</v>
      </c>
      <c r="E5" s="27">
        <v>1</v>
      </c>
      <c r="F5" s="27">
        <v>930</v>
      </c>
      <c r="G5" s="27">
        <v>60</v>
      </c>
      <c r="H5" s="27">
        <f>60*930+60*30</f>
        <v>57600</v>
      </c>
      <c r="I5" s="27">
        <f>200+26</f>
        <v>226</v>
      </c>
      <c r="J5" s="27">
        <f>200*65+26*22</f>
        <v>13572</v>
      </c>
      <c r="K5" s="27">
        <v>5</v>
      </c>
      <c r="L5" s="27">
        <v>13161</v>
      </c>
      <c r="M5" s="27">
        <v>1</v>
      </c>
      <c r="N5" s="27">
        <v>585.31</v>
      </c>
      <c r="O5" s="27">
        <v>2</v>
      </c>
      <c r="P5" s="27">
        <v>2840</v>
      </c>
      <c r="Q5" s="34">
        <f>354+3</f>
        <v>357</v>
      </c>
      <c r="R5" s="34">
        <f>70800+1310</f>
        <v>72110</v>
      </c>
      <c r="S5" s="27"/>
      <c r="T5" s="27"/>
      <c r="U5" s="27">
        <f>352+2+1+60</f>
        <v>415</v>
      </c>
      <c r="V5" s="27">
        <f>U5*400+1*350+60*350</f>
        <v>187350</v>
      </c>
      <c r="W5" s="27"/>
      <c r="X5" s="27"/>
      <c r="Y5" s="38"/>
      <c r="Z5" s="38"/>
      <c r="AA5" s="38"/>
      <c r="AB5" s="38"/>
      <c r="AC5" s="27">
        <v>1</v>
      </c>
      <c r="AD5" s="27">
        <v>500</v>
      </c>
      <c r="AE5" s="27"/>
      <c r="AF5" s="27"/>
      <c r="AG5" s="27">
        <f>C5+E5+G5+I5+K5+M5+O5+Q5+S5+U5+W5+Y6+AA6+AC5-354</f>
        <v>1756</v>
      </c>
      <c r="AH5" s="39">
        <f>D5+F5+H5+J5+L5+N5+P5+R5+T5+V5+X5+Z6+AB6+AD5-70800</f>
        <v>850633.31</v>
      </c>
    </row>
    <row r="6" spans="1:34" s="1" customFormat="1" ht="26.25" customHeight="1">
      <c r="A6" s="27" t="s">
        <v>21</v>
      </c>
      <c r="B6" s="27">
        <v>355</v>
      </c>
      <c r="C6" s="27">
        <v>554</v>
      </c>
      <c r="D6" s="27">
        <v>301516</v>
      </c>
      <c r="E6" s="27">
        <v>1</v>
      </c>
      <c r="F6" s="27">
        <v>930</v>
      </c>
      <c r="G6" s="27">
        <v>60</v>
      </c>
      <c r="H6" s="27">
        <f>60*930+60*30</f>
        <v>57600</v>
      </c>
      <c r="I6" s="27">
        <f>201+26</f>
        <v>227</v>
      </c>
      <c r="J6" s="27">
        <f>201*65+26*22</f>
        <v>13637</v>
      </c>
      <c r="K6" s="27">
        <v>0</v>
      </c>
      <c r="L6" s="27">
        <v>0</v>
      </c>
      <c r="M6" s="27">
        <v>0</v>
      </c>
      <c r="N6" s="27">
        <v>0</v>
      </c>
      <c r="O6" s="27">
        <v>2</v>
      </c>
      <c r="P6" s="27">
        <v>2840</v>
      </c>
      <c r="Q6" s="34">
        <f>178+78</f>
        <v>256</v>
      </c>
      <c r="R6" s="34">
        <f>55300+78*500</f>
        <v>94300</v>
      </c>
      <c r="S6" s="27"/>
      <c r="T6" s="27"/>
      <c r="U6" s="27">
        <f>501+186+168+166+4+4</f>
        <v>1029</v>
      </c>
      <c r="V6" s="27">
        <f>501*300+186*200+168*300+80000+4*200+4*300</f>
        <v>319900</v>
      </c>
      <c r="W6" s="27"/>
      <c r="X6" s="27"/>
      <c r="Y6" s="27">
        <f>30+450+1</f>
        <v>481</v>
      </c>
      <c r="Z6" s="27">
        <f>400*450+1000*30+30000</f>
        <v>240000</v>
      </c>
      <c r="AA6" s="27">
        <v>13</v>
      </c>
      <c r="AB6" s="27">
        <f>3*5000+10*2000</f>
        <v>35000</v>
      </c>
      <c r="AC6" s="27">
        <f>33+64+1</f>
        <v>98</v>
      </c>
      <c r="AD6" s="27">
        <f>(33+64)*500+(33+64)*200+500</f>
        <v>68400</v>
      </c>
      <c r="AE6" s="27"/>
      <c r="AF6" s="27"/>
      <c r="AG6" s="27">
        <f aca="true" t="shared" si="0" ref="AG6:AH8">C6+E6+G6+I6+K6+M6+O6+Q6+S6+U6+W6+Y6+AA6+AC6</f>
        <v>2721</v>
      </c>
      <c r="AH6" s="39">
        <f t="shared" si="0"/>
        <v>1134123</v>
      </c>
    </row>
    <row r="7" spans="1:34" s="1" customFormat="1" ht="26.25" customHeight="1">
      <c r="A7" s="27" t="s">
        <v>22</v>
      </c>
      <c r="B7" s="27">
        <v>357</v>
      </c>
      <c r="C7" s="27">
        <f>128+432</f>
        <v>560</v>
      </c>
      <c r="D7" s="27">
        <v>304526</v>
      </c>
      <c r="E7" s="27">
        <v>1</v>
      </c>
      <c r="F7" s="27">
        <v>930</v>
      </c>
      <c r="G7" s="27">
        <v>60</v>
      </c>
      <c r="H7" s="27">
        <f>60*930+60*30</f>
        <v>57600</v>
      </c>
      <c r="I7" s="27">
        <f>203+26</f>
        <v>229</v>
      </c>
      <c r="J7" s="27">
        <f>203*65+26*22</f>
        <v>13767</v>
      </c>
      <c r="K7" s="27">
        <v>3</v>
      </c>
      <c r="L7" s="27">
        <v>3615</v>
      </c>
      <c r="M7" s="27">
        <v>1</v>
      </c>
      <c r="N7" s="27">
        <v>600</v>
      </c>
      <c r="O7" s="27">
        <v>2</v>
      </c>
      <c r="P7" s="27">
        <v>2840</v>
      </c>
      <c r="Q7" s="27">
        <f>8+31+113</f>
        <v>152</v>
      </c>
      <c r="R7" s="27">
        <f>1600+14580+13560</f>
        <v>29740</v>
      </c>
      <c r="S7" s="27"/>
      <c r="T7" s="27"/>
      <c r="U7" s="27"/>
      <c r="V7" s="27"/>
      <c r="W7" s="27">
        <v>175</v>
      </c>
      <c r="X7" s="27">
        <v>109779</v>
      </c>
      <c r="Y7" s="27"/>
      <c r="Z7" s="27"/>
      <c r="AA7" s="27">
        <f>6</f>
        <v>6</v>
      </c>
      <c r="AB7" s="27">
        <f>6*2000</f>
        <v>12000</v>
      </c>
      <c r="AC7" s="27">
        <v>1</v>
      </c>
      <c r="AD7" s="27">
        <v>500</v>
      </c>
      <c r="AE7" s="27"/>
      <c r="AF7" s="27"/>
      <c r="AG7" s="27">
        <f t="shared" si="0"/>
        <v>1190</v>
      </c>
      <c r="AH7" s="39">
        <f t="shared" si="0"/>
        <v>535897</v>
      </c>
    </row>
    <row r="8" spans="1:34" s="1" customFormat="1" ht="26.25" customHeight="1">
      <c r="A8" s="27" t="s">
        <v>23</v>
      </c>
      <c r="B8" s="27">
        <v>351</v>
      </c>
      <c r="C8" s="27">
        <v>551</v>
      </c>
      <c r="D8" s="27">
        <v>337458</v>
      </c>
      <c r="E8" s="27">
        <v>1</v>
      </c>
      <c r="F8" s="27">
        <v>1030</v>
      </c>
      <c r="G8" s="27">
        <v>59</v>
      </c>
      <c r="H8" s="27">
        <f aca="true" t="shared" si="1" ref="H8:H15">59*1030+59*30</f>
        <v>62540</v>
      </c>
      <c r="I8" s="27">
        <f>202+26</f>
        <v>228</v>
      </c>
      <c r="J8" s="27">
        <f>202*65+26*22</f>
        <v>13702</v>
      </c>
      <c r="K8" s="27">
        <v>1</v>
      </c>
      <c r="L8" s="27">
        <v>4775</v>
      </c>
      <c r="M8" s="27">
        <v>0</v>
      </c>
      <c r="N8" s="27">
        <v>0</v>
      </c>
      <c r="O8" s="27">
        <v>1</v>
      </c>
      <c r="P8" s="27">
        <v>790</v>
      </c>
      <c r="Q8" s="27">
        <v>64</v>
      </c>
      <c r="R8" s="27">
        <v>31220</v>
      </c>
      <c r="S8" s="27">
        <v>1</v>
      </c>
      <c r="T8" s="27">
        <v>2500</v>
      </c>
      <c r="U8" s="27"/>
      <c r="V8" s="27"/>
      <c r="W8" s="27"/>
      <c r="X8" s="27"/>
      <c r="Y8" s="27"/>
      <c r="Z8" s="27"/>
      <c r="AA8" s="27">
        <f>3+3</f>
        <v>6</v>
      </c>
      <c r="AB8" s="27">
        <f>2000*2+5000+5000+3000+4000</f>
        <v>21000</v>
      </c>
      <c r="AC8" s="27"/>
      <c r="AD8" s="27"/>
      <c r="AE8" s="27"/>
      <c r="AF8" s="27"/>
      <c r="AG8" s="27">
        <f t="shared" si="0"/>
        <v>912</v>
      </c>
      <c r="AH8" s="39">
        <f t="shared" si="0"/>
        <v>475015</v>
      </c>
    </row>
    <row r="9" spans="1:34" s="1" customFormat="1" ht="26.25" customHeight="1">
      <c r="A9" s="27" t="s">
        <v>24</v>
      </c>
      <c r="B9" s="27">
        <v>352</v>
      </c>
      <c r="C9" s="27">
        <v>550</v>
      </c>
      <c r="D9" s="27">
        <v>336350</v>
      </c>
      <c r="E9" s="27">
        <v>1</v>
      </c>
      <c r="F9" s="27">
        <v>1030</v>
      </c>
      <c r="G9" s="27">
        <v>59</v>
      </c>
      <c r="H9" s="27">
        <f t="shared" si="1"/>
        <v>62540</v>
      </c>
      <c r="I9" s="27">
        <f>201+26</f>
        <v>227</v>
      </c>
      <c r="J9" s="27">
        <f>201*65+26*22</f>
        <v>13637</v>
      </c>
      <c r="K9" s="27">
        <v>5</v>
      </c>
      <c r="L9" s="27">
        <v>10903</v>
      </c>
      <c r="M9" s="27">
        <v>0</v>
      </c>
      <c r="N9" s="27">
        <v>0</v>
      </c>
      <c r="O9" s="27">
        <v>1</v>
      </c>
      <c r="P9" s="27">
        <v>790</v>
      </c>
      <c r="Q9" s="27">
        <v>29</v>
      </c>
      <c r="R9" s="27">
        <v>11840</v>
      </c>
      <c r="S9" s="27"/>
      <c r="T9" s="35"/>
      <c r="U9" s="35"/>
      <c r="V9" s="35"/>
      <c r="W9" s="27"/>
      <c r="X9" s="27"/>
      <c r="Y9" s="27"/>
      <c r="Z9" s="27"/>
      <c r="AA9" s="27">
        <v>2</v>
      </c>
      <c r="AB9" s="27">
        <v>7000</v>
      </c>
      <c r="AC9" s="27">
        <v>1</v>
      </c>
      <c r="AD9" s="27">
        <v>500</v>
      </c>
      <c r="AE9" s="27"/>
      <c r="AF9" s="27"/>
      <c r="AG9" s="27">
        <f aca="true" t="shared" si="2" ref="AG9:AH14">C9+E9+G9+I9+K9+M9+O9+Q9+S9+U9+W9+Y9+AA9+AC9</f>
        <v>875</v>
      </c>
      <c r="AH9" s="39">
        <f t="shared" si="2"/>
        <v>444590</v>
      </c>
    </row>
    <row r="10" spans="1:34" s="1" customFormat="1" ht="26.25" customHeight="1">
      <c r="A10" s="27" t="s">
        <v>25</v>
      </c>
      <c r="B10" s="27">
        <v>342</v>
      </c>
      <c r="C10" s="27">
        <v>534</v>
      </c>
      <c r="D10" s="27">
        <v>324420</v>
      </c>
      <c r="E10" s="27">
        <v>1</v>
      </c>
      <c r="F10" s="27">
        <v>1030</v>
      </c>
      <c r="G10" s="27">
        <v>58</v>
      </c>
      <c r="H10" s="27">
        <f>59740+1740</f>
        <v>61480</v>
      </c>
      <c r="I10" s="27">
        <f>195+26</f>
        <v>221</v>
      </c>
      <c r="J10" s="27">
        <f>195*65+26*22</f>
        <v>13247</v>
      </c>
      <c r="K10" s="27">
        <v>3</v>
      </c>
      <c r="L10" s="27">
        <v>18024.64</v>
      </c>
      <c r="M10" s="27">
        <v>2</v>
      </c>
      <c r="N10" s="27">
        <v>1685.92</v>
      </c>
      <c r="O10" s="27">
        <v>1</v>
      </c>
      <c r="P10" s="27">
        <v>790</v>
      </c>
      <c r="Q10" s="27">
        <v>31</v>
      </c>
      <c r="R10" s="27">
        <v>14600</v>
      </c>
      <c r="S10" s="27"/>
      <c r="T10" s="27"/>
      <c r="U10" s="27"/>
      <c r="V10" s="27"/>
      <c r="W10" s="27">
        <v>177</v>
      </c>
      <c r="X10" s="27">
        <v>77953</v>
      </c>
      <c r="Y10" s="27"/>
      <c r="Z10" s="27"/>
      <c r="AA10" s="27">
        <v>1</v>
      </c>
      <c r="AB10" s="27">
        <v>4000</v>
      </c>
      <c r="AC10" s="27">
        <f>1+1</f>
        <v>2</v>
      </c>
      <c r="AD10" s="27">
        <f>1500+2000</f>
        <v>3500</v>
      </c>
      <c r="AE10" s="27"/>
      <c r="AF10" s="27"/>
      <c r="AG10" s="27">
        <f t="shared" si="2"/>
        <v>1031</v>
      </c>
      <c r="AH10" s="39">
        <f t="shared" si="2"/>
        <v>520730.56</v>
      </c>
    </row>
    <row r="11" spans="1:34" s="1" customFormat="1" ht="26.25" customHeight="1">
      <c r="A11" s="27" t="s">
        <v>26</v>
      </c>
      <c r="B11" s="27">
        <v>337</v>
      </c>
      <c r="C11" s="27">
        <v>530</v>
      </c>
      <c r="D11" s="27">
        <v>316101</v>
      </c>
      <c r="E11" s="27">
        <v>1</v>
      </c>
      <c r="F11" s="27">
        <v>1030</v>
      </c>
      <c r="G11" s="27">
        <v>58</v>
      </c>
      <c r="H11" s="27">
        <f>58*(1030+30)</f>
        <v>61480</v>
      </c>
      <c r="I11" s="27">
        <f>195+26</f>
        <v>221</v>
      </c>
      <c r="J11" s="27">
        <f>195*65+26*22</f>
        <v>13247</v>
      </c>
      <c r="K11" s="27">
        <v>3</v>
      </c>
      <c r="L11" s="27">
        <v>20451.84</v>
      </c>
      <c r="M11" s="27">
        <v>2</v>
      </c>
      <c r="N11" s="27">
        <v>1684.45</v>
      </c>
      <c r="O11" s="27">
        <v>0</v>
      </c>
      <c r="P11" s="27">
        <v>0</v>
      </c>
      <c r="Q11" s="27">
        <v>20</v>
      </c>
      <c r="R11" s="27">
        <v>10700</v>
      </c>
      <c r="S11" s="27">
        <v>1</v>
      </c>
      <c r="T11" s="27">
        <v>2500</v>
      </c>
      <c r="U11" s="27"/>
      <c r="V11" s="27"/>
      <c r="W11" s="27"/>
      <c r="X11" s="27"/>
      <c r="Y11" s="27"/>
      <c r="Z11" s="27"/>
      <c r="AA11" s="27">
        <v>3</v>
      </c>
      <c r="AB11" s="27">
        <v>8000</v>
      </c>
      <c r="AC11" s="27">
        <f>1+1</f>
        <v>2</v>
      </c>
      <c r="AD11" s="27">
        <f>500+100</f>
        <v>600</v>
      </c>
      <c r="AE11" s="27"/>
      <c r="AF11" s="27"/>
      <c r="AG11" s="27">
        <f t="shared" si="2"/>
        <v>841</v>
      </c>
      <c r="AH11" s="39">
        <f t="shared" si="2"/>
        <v>435794.29000000004</v>
      </c>
    </row>
    <row r="12" spans="1:34" s="1" customFormat="1" ht="26.25" customHeight="1">
      <c r="A12" s="27" t="s">
        <v>27</v>
      </c>
      <c r="B12" s="27">
        <v>327</v>
      </c>
      <c r="C12" s="27">
        <v>519</v>
      </c>
      <c r="D12" s="27">
        <v>307574</v>
      </c>
      <c r="E12" s="27">
        <v>1</v>
      </c>
      <c r="F12" s="27">
        <v>1030</v>
      </c>
      <c r="G12" s="27">
        <v>58</v>
      </c>
      <c r="H12" s="27">
        <f>58*1030+58*30</f>
        <v>61480</v>
      </c>
      <c r="I12" s="27">
        <f>195+26</f>
        <v>221</v>
      </c>
      <c r="J12" s="27">
        <f>195*65+26*22</f>
        <v>13247</v>
      </c>
      <c r="K12" s="27">
        <v>2</v>
      </c>
      <c r="L12" s="27">
        <v>22179.66</v>
      </c>
      <c r="M12" s="27">
        <v>0</v>
      </c>
      <c r="N12" s="27">
        <v>0</v>
      </c>
      <c r="O12" s="27">
        <v>0</v>
      </c>
      <c r="P12" s="27">
        <v>0</v>
      </c>
      <c r="Q12" s="27">
        <v>28</v>
      </c>
      <c r="R12" s="27">
        <v>16100</v>
      </c>
      <c r="S12" s="27">
        <f>7+5+21+6</f>
        <v>39</v>
      </c>
      <c r="T12" s="27">
        <f>7*1500+5*1000+21*5000+6*3000</f>
        <v>138500</v>
      </c>
      <c r="U12" s="27"/>
      <c r="V12" s="27"/>
      <c r="W12" s="27"/>
      <c r="X12" s="27"/>
      <c r="Y12" s="27">
        <v>1</v>
      </c>
      <c r="Z12" s="27">
        <v>3417</v>
      </c>
      <c r="AA12" s="35">
        <f>8+3</f>
        <v>11</v>
      </c>
      <c r="AB12" s="35">
        <f>8*1500+9000</f>
        <v>21000</v>
      </c>
      <c r="AC12" s="27">
        <f>2+85</f>
        <v>87</v>
      </c>
      <c r="AD12" s="27">
        <f>500+800+85*500</f>
        <v>43800</v>
      </c>
      <c r="AE12" s="27"/>
      <c r="AF12" s="27"/>
      <c r="AG12" s="27">
        <f t="shared" si="2"/>
        <v>967</v>
      </c>
      <c r="AH12" s="39">
        <f t="shared" si="2"/>
        <v>628327.6599999999</v>
      </c>
    </row>
    <row r="13" spans="1:34" s="1" customFormat="1" ht="26.25" customHeight="1">
      <c r="A13" s="27" t="s">
        <v>28</v>
      </c>
      <c r="B13" s="27">
        <v>330</v>
      </c>
      <c r="C13" s="27">
        <v>523</v>
      </c>
      <c r="D13" s="27">
        <v>311797</v>
      </c>
      <c r="E13" s="27">
        <v>1</v>
      </c>
      <c r="F13" s="27">
        <v>1030</v>
      </c>
      <c r="G13" s="27">
        <v>59</v>
      </c>
      <c r="H13" s="27">
        <f t="shared" si="1"/>
        <v>62540</v>
      </c>
      <c r="I13" s="27">
        <f>194+25</f>
        <v>219</v>
      </c>
      <c r="J13" s="27">
        <f>194*65+25*22</f>
        <v>13160</v>
      </c>
      <c r="K13" s="27">
        <v>5</v>
      </c>
      <c r="L13" s="27">
        <v>94418.22</v>
      </c>
      <c r="M13" s="27">
        <v>1</v>
      </c>
      <c r="N13" s="27">
        <v>600</v>
      </c>
      <c r="O13" s="27">
        <v>0</v>
      </c>
      <c r="P13" s="27">
        <v>0</v>
      </c>
      <c r="Q13" s="27">
        <v>76</v>
      </c>
      <c r="R13" s="27">
        <v>35600</v>
      </c>
      <c r="S13" s="27">
        <f>60+9</f>
        <v>69</v>
      </c>
      <c r="T13" s="27">
        <f>5*110*60+29000</f>
        <v>62000</v>
      </c>
      <c r="U13" s="27"/>
      <c r="V13" s="27"/>
      <c r="W13" s="27">
        <v>182</v>
      </c>
      <c r="X13" s="27">
        <v>115456</v>
      </c>
      <c r="Y13" s="27">
        <v>30</v>
      </c>
      <c r="Z13" s="27">
        <v>13600</v>
      </c>
      <c r="AA13" s="27">
        <v>0</v>
      </c>
      <c r="AB13" s="27">
        <v>0</v>
      </c>
      <c r="AC13" s="27">
        <v>1</v>
      </c>
      <c r="AD13" s="27">
        <v>1500</v>
      </c>
      <c r="AE13" s="27"/>
      <c r="AF13" s="27"/>
      <c r="AG13" s="27">
        <f t="shared" si="2"/>
        <v>1166</v>
      </c>
      <c r="AH13" s="39">
        <f t="shared" si="2"/>
        <v>711701.22</v>
      </c>
    </row>
    <row r="14" spans="1:34" s="1" customFormat="1" ht="26.25" customHeight="1">
      <c r="A14" s="27" t="s">
        <v>29</v>
      </c>
      <c r="B14" s="27">
        <v>331</v>
      </c>
      <c r="C14" s="27">
        <v>522</v>
      </c>
      <c r="D14" s="27">
        <v>311510</v>
      </c>
      <c r="E14" s="27">
        <v>1</v>
      </c>
      <c r="F14" s="27">
        <v>1030</v>
      </c>
      <c r="G14" s="27">
        <v>59</v>
      </c>
      <c r="H14" s="27">
        <f t="shared" si="1"/>
        <v>62540</v>
      </c>
      <c r="I14" s="27">
        <f>194+26</f>
        <v>220</v>
      </c>
      <c r="J14" s="27">
        <f>194*65+26*22</f>
        <v>13182</v>
      </c>
      <c r="K14" s="27">
        <v>0</v>
      </c>
      <c r="L14" s="27">
        <v>0</v>
      </c>
      <c r="M14" s="27">
        <v>0</v>
      </c>
      <c r="N14" s="27">
        <v>0</v>
      </c>
      <c r="O14" s="27">
        <v>0</v>
      </c>
      <c r="P14" s="27">
        <v>0</v>
      </c>
      <c r="Q14" s="27">
        <v>25</v>
      </c>
      <c r="R14" s="27">
        <v>14500</v>
      </c>
      <c r="S14" s="27">
        <v>9</v>
      </c>
      <c r="T14" s="27">
        <v>29000</v>
      </c>
      <c r="U14" s="27">
        <v>0</v>
      </c>
      <c r="V14" s="27">
        <v>0</v>
      </c>
      <c r="W14" s="27">
        <v>0</v>
      </c>
      <c r="X14" s="27">
        <v>0</v>
      </c>
      <c r="Y14" s="27">
        <v>0</v>
      </c>
      <c r="Z14" s="27">
        <v>0</v>
      </c>
      <c r="AA14" s="27">
        <v>0</v>
      </c>
      <c r="AB14" s="27">
        <v>0</v>
      </c>
      <c r="AC14" s="27">
        <v>2</v>
      </c>
      <c r="AD14" s="27">
        <v>2000</v>
      </c>
      <c r="AE14" s="27"/>
      <c r="AF14" s="27"/>
      <c r="AG14" s="27">
        <f t="shared" si="2"/>
        <v>838</v>
      </c>
      <c r="AH14" s="27">
        <f t="shared" si="2"/>
        <v>433762</v>
      </c>
    </row>
    <row r="15" spans="1:34" s="1" customFormat="1" ht="26.25" customHeight="1">
      <c r="A15" s="27" t="s">
        <v>30</v>
      </c>
      <c r="B15" s="27">
        <v>334</v>
      </c>
      <c r="C15" s="27">
        <v>526</v>
      </c>
      <c r="D15" s="27">
        <v>314814</v>
      </c>
      <c r="E15" s="27">
        <v>1</v>
      </c>
      <c r="F15" s="27">
        <v>1030</v>
      </c>
      <c r="G15" s="27">
        <v>59</v>
      </c>
      <c r="H15" s="27">
        <f t="shared" si="1"/>
        <v>62540</v>
      </c>
      <c r="I15" s="27">
        <f>195+30</f>
        <v>225</v>
      </c>
      <c r="J15" s="27">
        <f>195*65+30*22</f>
        <v>13335</v>
      </c>
      <c r="K15" s="27">
        <v>8</v>
      </c>
      <c r="L15" s="27">
        <v>52154</v>
      </c>
      <c r="M15" s="27">
        <v>1</v>
      </c>
      <c r="N15" s="27">
        <v>900</v>
      </c>
      <c r="O15" s="27">
        <v>2</v>
      </c>
      <c r="P15" s="27">
        <v>1580</v>
      </c>
      <c r="Q15" s="27">
        <v>29</v>
      </c>
      <c r="R15" s="27">
        <v>15100</v>
      </c>
      <c r="S15" s="27">
        <v>1</v>
      </c>
      <c r="T15" s="27">
        <v>1500</v>
      </c>
      <c r="U15" s="27"/>
      <c r="V15" s="27"/>
      <c r="W15" s="27"/>
      <c r="X15" s="27"/>
      <c r="Y15" s="27">
        <v>10</v>
      </c>
      <c r="Z15" s="27">
        <v>3791</v>
      </c>
      <c r="AA15" s="27">
        <v>5</v>
      </c>
      <c r="AB15" s="27">
        <v>22000</v>
      </c>
      <c r="AC15" s="27">
        <f>1+10</f>
        <v>11</v>
      </c>
      <c r="AD15" s="27">
        <f>1000+1893</f>
        <v>2893</v>
      </c>
      <c r="AE15" s="27">
        <v>10</v>
      </c>
      <c r="AF15" s="27">
        <v>3791</v>
      </c>
      <c r="AG15" s="27">
        <f>C15+E15+G15+I15+K15+M15+O15+Q15+S15+U15+W15+Y15+AA15+AC15+AE15</f>
        <v>888</v>
      </c>
      <c r="AH15" s="27">
        <f>D15+F15+H15+J15+L15+N15+P15+R15+T15+V15+X15+Z15+AB15+AD15+AF15</f>
        <v>495428</v>
      </c>
    </row>
    <row r="16" spans="1:34" s="1" customFormat="1" ht="26.25" customHeight="1">
      <c r="A16" s="27" t="s">
        <v>31</v>
      </c>
      <c r="B16" s="27">
        <v>333</v>
      </c>
      <c r="C16" s="27">
        <v>523</v>
      </c>
      <c r="D16" s="27">
        <v>314504</v>
      </c>
      <c r="E16" s="27">
        <v>1</v>
      </c>
      <c r="F16" s="27">
        <v>1030</v>
      </c>
      <c r="G16" s="27">
        <v>60</v>
      </c>
      <c r="H16" s="27">
        <f>60*1030+60*30</f>
        <v>63600</v>
      </c>
      <c r="I16" s="27">
        <f>196+30</f>
        <v>226</v>
      </c>
      <c r="J16" s="27">
        <f>196*65+30*30</f>
        <v>13640</v>
      </c>
      <c r="K16" s="27">
        <v>5</v>
      </c>
      <c r="L16" s="27">
        <v>14337</v>
      </c>
      <c r="M16" s="27">
        <v>18</v>
      </c>
      <c r="N16" s="27">
        <v>12084</v>
      </c>
      <c r="O16" s="27">
        <v>2</v>
      </c>
      <c r="P16" s="27">
        <v>1580</v>
      </c>
      <c r="Q16" s="27">
        <v>33</v>
      </c>
      <c r="R16" s="27">
        <v>16378</v>
      </c>
      <c r="S16" s="27"/>
      <c r="T16" s="27"/>
      <c r="U16" s="27"/>
      <c r="V16" s="27"/>
      <c r="W16" s="27">
        <v>181</v>
      </c>
      <c r="X16" s="27">
        <v>167626</v>
      </c>
      <c r="Y16" s="27"/>
      <c r="Z16" s="27"/>
      <c r="AA16" s="27">
        <f>1+4+10</f>
        <v>15</v>
      </c>
      <c r="AB16" s="27">
        <f>3000+16000+16500</f>
        <v>35500</v>
      </c>
      <c r="AC16" s="27">
        <f>1+1</f>
        <v>2</v>
      </c>
      <c r="AD16" s="27">
        <f>10000+10000</f>
        <v>20000</v>
      </c>
      <c r="AE16" s="27"/>
      <c r="AF16" s="27"/>
      <c r="AG16" s="27">
        <f>C16+E16+G16+I16+K16+M16+O16+Q16+S16+U16+W16+Y16+AA16+AC16+AE16</f>
        <v>1066</v>
      </c>
      <c r="AH16" s="27">
        <f>D16+F16+H16+J16+L16+N16+P16+R16+T16+V16+X16+Z16+AB16+AD16+AF16</f>
        <v>660279</v>
      </c>
    </row>
    <row r="17" spans="1:34" s="1" customFormat="1" ht="26.25" customHeight="1">
      <c r="A17" s="27" t="s">
        <v>32</v>
      </c>
      <c r="B17" s="27">
        <f aca="true" t="shared" si="3" ref="B17:AF17">SUM(B5:B16)</f>
        <v>4101</v>
      </c>
      <c r="C17" s="27">
        <f t="shared" si="3"/>
        <v>6440</v>
      </c>
      <c r="D17" s="27">
        <f t="shared" si="3"/>
        <v>3778355</v>
      </c>
      <c r="E17" s="27">
        <f t="shared" si="3"/>
        <v>12</v>
      </c>
      <c r="F17" s="27">
        <f t="shared" si="3"/>
        <v>12060</v>
      </c>
      <c r="G17" s="27">
        <f t="shared" si="3"/>
        <v>709</v>
      </c>
      <c r="H17" s="27">
        <f t="shared" si="3"/>
        <v>733540</v>
      </c>
      <c r="I17" s="27">
        <f t="shared" si="3"/>
        <v>2690</v>
      </c>
      <c r="J17" s="27">
        <f t="shared" si="3"/>
        <v>161373</v>
      </c>
      <c r="K17" s="27">
        <f t="shared" si="3"/>
        <v>40</v>
      </c>
      <c r="L17" s="27">
        <f t="shared" si="3"/>
        <v>254019.36</v>
      </c>
      <c r="M17" s="27">
        <f t="shared" si="3"/>
        <v>26</v>
      </c>
      <c r="N17" s="27">
        <f t="shared" si="3"/>
        <v>18139.68</v>
      </c>
      <c r="O17" s="27">
        <f t="shared" si="3"/>
        <v>13</v>
      </c>
      <c r="P17" s="27">
        <f t="shared" si="3"/>
        <v>14050</v>
      </c>
      <c r="Q17" s="27">
        <f t="shared" si="3"/>
        <v>1100</v>
      </c>
      <c r="R17" s="27">
        <f t="shared" si="3"/>
        <v>362188</v>
      </c>
      <c r="S17" s="27">
        <f t="shared" si="3"/>
        <v>120</v>
      </c>
      <c r="T17" s="27">
        <f t="shared" si="3"/>
        <v>236000</v>
      </c>
      <c r="U17" s="27">
        <f t="shared" si="3"/>
        <v>1444</v>
      </c>
      <c r="V17" s="27">
        <f t="shared" si="3"/>
        <v>507250</v>
      </c>
      <c r="W17" s="27">
        <f t="shared" si="3"/>
        <v>715</v>
      </c>
      <c r="X17" s="27">
        <f t="shared" si="3"/>
        <v>470814</v>
      </c>
      <c r="Y17" s="27">
        <f>SUM(Y6:Y16)</f>
        <v>522</v>
      </c>
      <c r="Z17" s="27">
        <f>SUM(Z6:Z16)</f>
        <v>260808</v>
      </c>
      <c r="AA17" s="27">
        <f>SUM(AA6:AA16)</f>
        <v>62</v>
      </c>
      <c r="AB17" s="27">
        <f>SUM(AB6:AB16)</f>
        <v>165500</v>
      </c>
      <c r="AC17" s="27">
        <f t="shared" si="3"/>
        <v>208</v>
      </c>
      <c r="AD17" s="27">
        <f t="shared" si="3"/>
        <v>144193</v>
      </c>
      <c r="AE17" s="27">
        <f t="shared" si="3"/>
        <v>10</v>
      </c>
      <c r="AF17" s="27">
        <f t="shared" si="3"/>
        <v>3791</v>
      </c>
      <c r="AG17" s="27">
        <f>C17+E17+G17+I17+M17+Q17+S17+U17+W17+Y17+AA17+AC17</f>
        <v>14048</v>
      </c>
      <c r="AH17" s="39">
        <f>AD17+AB17+Z17+X17+V17+T17+R17+N17+J17+H17+F17+D17</f>
        <v>6850220.68</v>
      </c>
    </row>
    <row r="18" spans="3:32" s="4" customFormat="1" ht="13.5">
      <c r="C18" s="5"/>
      <c r="D18" s="5"/>
      <c r="Q18" s="36"/>
      <c r="R18" s="33"/>
      <c r="Y18" s="5"/>
      <c r="AB18" s="36" t="s">
        <v>41</v>
      </c>
      <c r="AC18" s="36">
        <f>33+64</f>
        <v>97</v>
      </c>
      <c r="AD18" s="36">
        <f>(33+64)*(500+200)</f>
        <v>67900</v>
      </c>
      <c r="AE18" s="36"/>
      <c r="AF18" s="36"/>
    </row>
    <row r="19" spans="3:32" s="4" customFormat="1" ht="13.5">
      <c r="C19" s="5"/>
      <c r="D19" s="5"/>
      <c r="P19" s="15" t="s">
        <v>42</v>
      </c>
      <c r="Q19" s="32">
        <f>352+2+8</f>
        <v>362</v>
      </c>
      <c r="R19" s="32">
        <f>354*200+8*200</f>
        <v>72400</v>
      </c>
      <c r="Y19" s="5"/>
      <c r="AB19" s="36" t="s">
        <v>43</v>
      </c>
      <c r="AC19" s="36">
        <f>AC17-AC18</f>
        <v>111</v>
      </c>
      <c r="AD19" s="36">
        <f>AD17-AD18</f>
        <v>76293</v>
      </c>
      <c r="AE19" s="36"/>
      <c r="AF19" s="36"/>
    </row>
    <row r="20" spans="3:32" s="4" customFormat="1" ht="13.5">
      <c r="C20" s="5"/>
      <c r="D20" s="5"/>
      <c r="P20" s="15" t="s">
        <v>44</v>
      </c>
      <c r="Q20" s="37">
        <f>Q17-354-8</f>
        <v>738</v>
      </c>
      <c r="R20" s="37">
        <f>R17-72400</f>
        <v>289788</v>
      </c>
      <c r="Y20" s="5"/>
      <c r="AB20" s="36"/>
      <c r="AC20" s="36"/>
      <c r="AD20" s="36"/>
      <c r="AE20" s="36"/>
      <c r="AF20" s="36"/>
    </row>
    <row r="21" spans="3:25" s="4" customFormat="1" ht="13.5">
      <c r="C21" s="5"/>
      <c r="D21" s="5"/>
      <c r="P21" s="32" t="s">
        <v>45</v>
      </c>
      <c r="Q21" s="37">
        <f>SUM(Q19:Q20)</f>
        <v>1100</v>
      </c>
      <c r="R21" s="37">
        <f>SUM(R19:R20)</f>
        <v>362188</v>
      </c>
      <c r="Y21" s="5"/>
    </row>
    <row r="22" spans="3:25" s="4" customFormat="1" ht="13.5">
      <c r="C22" s="5"/>
      <c r="D22" s="5"/>
      <c r="N22" s="33"/>
      <c r="O22" s="33"/>
      <c r="P22" s="33"/>
      <c r="Y22" s="5"/>
    </row>
    <row r="23" spans="3:25" s="4" customFormat="1" ht="13.5">
      <c r="C23" s="5"/>
      <c r="D23" s="5"/>
      <c r="Y23" s="5"/>
    </row>
    <row r="24" spans="3:25" s="4" customFormat="1" ht="13.5">
      <c r="C24" s="5"/>
      <c r="D24" s="5"/>
      <c r="Y24" s="5"/>
    </row>
    <row r="25" spans="3:25" s="4" customFormat="1" ht="13.5">
      <c r="C25" s="5"/>
      <c r="D25" s="5"/>
      <c r="Y25" s="5"/>
    </row>
    <row r="26" spans="3:25" s="4" customFormat="1" ht="13.5">
      <c r="C26" s="5"/>
      <c r="D26" s="5"/>
      <c r="Y26" s="5"/>
    </row>
    <row r="27" spans="3:25" s="4" customFormat="1" ht="13.5">
      <c r="C27" s="5"/>
      <c r="D27" s="5"/>
      <c r="Y27" s="5"/>
    </row>
    <row r="28" spans="3:25" s="4" customFormat="1" ht="13.5">
      <c r="C28" s="5"/>
      <c r="D28" s="5"/>
      <c r="Y28" s="5"/>
    </row>
    <row r="29" spans="3:25" s="4" customFormat="1" ht="13.5">
      <c r="C29" s="5"/>
      <c r="D29" s="5"/>
      <c r="Y29" s="5"/>
    </row>
    <row r="30" spans="3:25" s="4" customFormat="1" ht="13.5">
      <c r="C30" s="5"/>
      <c r="D30" s="5"/>
      <c r="Y30" s="5"/>
    </row>
    <row r="31" spans="3:25" s="4" customFormat="1" ht="13.5">
      <c r="C31" s="5"/>
      <c r="D31" s="5"/>
      <c r="Y31" s="5"/>
    </row>
    <row r="32" spans="3:25" s="4" customFormat="1" ht="13.5">
      <c r="C32" s="5"/>
      <c r="D32" s="5"/>
      <c r="Y32" s="5"/>
    </row>
    <row r="33" spans="3:25" s="4" customFormat="1" ht="13.5">
      <c r="C33" s="5"/>
      <c r="D33" s="5"/>
      <c r="Y33" s="5"/>
    </row>
    <row r="34" spans="3:25" s="4" customFormat="1" ht="13.5">
      <c r="C34" s="5"/>
      <c r="D34" s="5"/>
      <c r="Y34" s="5"/>
    </row>
    <row r="35" spans="3:25" s="4" customFormat="1" ht="13.5">
      <c r="C35" s="5"/>
      <c r="D35" s="5"/>
      <c r="Y35" s="5"/>
    </row>
    <row r="36" spans="3:25" s="4" customFormat="1" ht="13.5">
      <c r="C36" s="5"/>
      <c r="D36" s="5"/>
      <c r="Y36" s="5"/>
    </row>
    <row r="37" spans="3:25" s="4" customFormat="1" ht="13.5">
      <c r="C37" s="5"/>
      <c r="D37" s="5"/>
      <c r="Y37" s="5"/>
    </row>
    <row r="38" spans="3:25" s="4" customFormat="1" ht="13.5">
      <c r="C38" s="5"/>
      <c r="D38" s="5"/>
      <c r="Y38" s="5"/>
    </row>
    <row r="39" spans="3:25" s="4" customFormat="1" ht="13.5">
      <c r="C39" s="5"/>
      <c r="D39" s="5"/>
      <c r="Y39" s="5"/>
    </row>
    <row r="40" spans="3:25" s="4" customFormat="1" ht="13.5">
      <c r="C40" s="5"/>
      <c r="D40" s="5"/>
      <c r="Y40" s="5"/>
    </row>
  </sheetData>
  <sheetProtection/>
  <mergeCells count="17">
    <mergeCell ref="A1:AH1"/>
    <mergeCell ref="B3:D3"/>
    <mergeCell ref="E3:F3"/>
    <mergeCell ref="G3:H3"/>
    <mergeCell ref="I3:J3"/>
    <mergeCell ref="K3:L3"/>
    <mergeCell ref="M3:N3"/>
    <mergeCell ref="O3:P3"/>
    <mergeCell ref="Q3:R3"/>
    <mergeCell ref="S3:T3"/>
    <mergeCell ref="U3:V3"/>
    <mergeCell ref="W3:X3"/>
    <mergeCell ref="Y3:Z3"/>
    <mergeCell ref="AA3:AB3"/>
    <mergeCell ref="AC3:AD3"/>
    <mergeCell ref="AE3:AF3"/>
    <mergeCell ref="AG3:AH3"/>
  </mergeCells>
  <printOptions/>
  <pageMargins left="0.21" right="0.17" top="0.78" bottom="0.73" header="0.5" footer="0.5"/>
  <pageSetup horizontalDpi="600" verticalDpi="600" orientation="landscape" paperSize="9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5"/>
  <sheetViews>
    <sheetView tabSelected="1" zoomScale="106" zoomScaleNormal="106" workbookViewId="0" topLeftCell="H1">
      <pane ySplit="3" topLeftCell="A4" activePane="bottomLeft" state="frozen"/>
      <selection pane="bottomLeft" activeCell="AC18" sqref="AC18"/>
    </sheetView>
  </sheetViews>
  <sheetFormatPr defaultColWidth="9.00390625" defaultRowHeight="14.25"/>
  <cols>
    <col min="1" max="2" width="6.375" style="0" customWidth="1"/>
    <col min="3" max="3" width="6.375" style="5" customWidth="1"/>
    <col min="4" max="4" width="8.875" style="5" customWidth="1"/>
    <col min="5" max="20" width="6.375" style="0" customWidth="1"/>
    <col min="21" max="21" width="6.375" style="5" customWidth="1"/>
    <col min="22" max="25" width="6.375" style="0" customWidth="1"/>
    <col min="26" max="26" width="9.75390625" style="0" customWidth="1"/>
    <col min="27" max="32" width="6.375" style="0" customWidth="1"/>
    <col min="33" max="33" width="10.25390625" style="0" customWidth="1"/>
  </cols>
  <sheetData>
    <row r="1" spans="1:33" ht="44.25" customHeight="1">
      <c r="A1" s="6" t="s">
        <v>46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</row>
    <row r="2" spans="1:33" s="1" customFormat="1" ht="25.5" customHeight="1">
      <c r="A2" s="7" t="s">
        <v>47</v>
      </c>
      <c r="B2" s="8" t="s">
        <v>2</v>
      </c>
      <c r="C2" s="8"/>
      <c r="D2" s="8"/>
      <c r="E2" s="8" t="s">
        <v>48</v>
      </c>
      <c r="F2" s="8"/>
      <c r="G2" s="8" t="s">
        <v>4</v>
      </c>
      <c r="H2" s="8"/>
      <c r="I2" s="8" t="s">
        <v>5</v>
      </c>
      <c r="J2" s="8"/>
      <c r="K2" s="8" t="s">
        <v>49</v>
      </c>
      <c r="L2" s="8"/>
      <c r="M2" s="8" t="s">
        <v>50</v>
      </c>
      <c r="N2" s="8"/>
      <c r="O2" s="8" t="s">
        <v>9</v>
      </c>
      <c r="P2" s="8"/>
      <c r="Q2" s="8" t="s">
        <v>10</v>
      </c>
      <c r="R2" s="8"/>
      <c r="S2" s="8" t="s">
        <v>11</v>
      </c>
      <c r="T2" s="8"/>
      <c r="U2" s="8" t="s">
        <v>14</v>
      </c>
      <c r="V2" s="8"/>
      <c r="W2" s="8" t="s">
        <v>13</v>
      </c>
      <c r="X2" s="8"/>
      <c r="Y2" s="8" t="s">
        <v>51</v>
      </c>
      <c r="Z2" s="8"/>
      <c r="AA2" s="8" t="s">
        <v>12</v>
      </c>
      <c r="AB2" s="8"/>
      <c r="AC2" s="8" t="s">
        <v>52</v>
      </c>
      <c r="AD2" s="8"/>
      <c r="AE2" s="16" t="s">
        <v>15</v>
      </c>
      <c r="AF2" s="17"/>
      <c r="AG2" s="18"/>
    </row>
    <row r="3" spans="1:33" s="2" customFormat="1" ht="25.5" customHeight="1">
      <c r="A3" s="9" t="s">
        <v>16</v>
      </c>
      <c r="B3" s="9" t="s">
        <v>17</v>
      </c>
      <c r="C3" s="9" t="s">
        <v>18</v>
      </c>
      <c r="D3" s="9" t="s">
        <v>19</v>
      </c>
      <c r="E3" s="9" t="s">
        <v>18</v>
      </c>
      <c r="F3" s="9" t="s">
        <v>19</v>
      </c>
      <c r="G3" s="9" t="s">
        <v>18</v>
      </c>
      <c r="H3" s="9" t="s">
        <v>19</v>
      </c>
      <c r="I3" s="9" t="s">
        <v>18</v>
      </c>
      <c r="J3" s="9" t="s">
        <v>19</v>
      </c>
      <c r="K3" s="9" t="s">
        <v>17</v>
      </c>
      <c r="L3" s="9" t="s">
        <v>19</v>
      </c>
      <c r="M3" s="9" t="s">
        <v>17</v>
      </c>
      <c r="N3" s="9" t="s">
        <v>19</v>
      </c>
      <c r="O3" s="9" t="s">
        <v>18</v>
      </c>
      <c r="P3" s="9" t="s">
        <v>19</v>
      </c>
      <c r="Q3" s="9" t="s">
        <v>18</v>
      </c>
      <c r="R3" s="9" t="s">
        <v>19</v>
      </c>
      <c r="S3" s="9" t="s">
        <v>18</v>
      </c>
      <c r="T3" s="9" t="s">
        <v>19</v>
      </c>
      <c r="U3" s="9" t="s">
        <v>18</v>
      </c>
      <c r="V3" s="9" t="s">
        <v>19</v>
      </c>
      <c r="W3" s="9" t="s">
        <v>18</v>
      </c>
      <c r="X3" s="9" t="s">
        <v>19</v>
      </c>
      <c r="Y3" s="9" t="s">
        <v>18</v>
      </c>
      <c r="Z3" s="9" t="s">
        <v>19</v>
      </c>
      <c r="AA3" s="9" t="s">
        <v>18</v>
      </c>
      <c r="AB3" s="9" t="s">
        <v>19</v>
      </c>
      <c r="AC3" s="9" t="s">
        <v>18</v>
      </c>
      <c r="AD3" s="9" t="s">
        <v>19</v>
      </c>
      <c r="AE3" s="9" t="s">
        <v>17</v>
      </c>
      <c r="AF3" s="9" t="s">
        <v>18</v>
      </c>
      <c r="AG3" s="9" t="s">
        <v>19</v>
      </c>
    </row>
    <row r="4" spans="1:33" s="2" customFormat="1" ht="39.75" customHeight="1">
      <c r="A4" s="9" t="s">
        <v>20</v>
      </c>
      <c r="B4" s="9">
        <v>278</v>
      </c>
      <c r="C4" s="9">
        <v>461</v>
      </c>
      <c r="D4" s="9">
        <v>505630</v>
      </c>
      <c r="E4" s="9">
        <v>19</v>
      </c>
      <c r="F4" s="9">
        <v>32741</v>
      </c>
      <c r="G4" s="9">
        <v>77</v>
      </c>
      <c r="H4" s="9">
        <v>133210</v>
      </c>
      <c r="I4" s="9">
        <v>266</v>
      </c>
      <c r="J4" s="9">
        <v>16852</v>
      </c>
      <c r="K4" s="9">
        <v>0</v>
      </c>
      <c r="L4" s="9">
        <v>0</v>
      </c>
      <c r="M4" s="11">
        <v>1</v>
      </c>
      <c r="N4" s="11">
        <v>500</v>
      </c>
      <c r="O4" s="9">
        <v>0</v>
      </c>
      <c r="P4" s="9">
        <v>0</v>
      </c>
      <c r="Q4" s="9">
        <v>474</v>
      </c>
      <c r="R4" s="9">
        <v>428700</v>
      </c>
      <c r="S4" s="9">
        <v>0</v>
      </c>
      <c r="T4" s="9">
        <v>0</v>
      </c>
      <c r="U4" s="13">
        <v>490</v>
      </c>
      <c r="V4" s="9">
        <v>260000</v>
      </c>
      <c r="W4" s="9">
        <v>69</v>
      </c>
      <c r="X4" s="9">
        <v>174900</v>
      </c>
      <c r="Y4" s="9">
        <v>622</v>
      </c>
      <c r="Z4" s="9">
        <v>400000</v>
      </c>
      <c r="AA4" s="9">
        <v>0</v>
      </c>
      <c r="AB4" s="9">
        <v>0</v>
      </c>
      <c r="AC4" s="9">
        <v>2</v>
      </c>
      <c r="AD4" s="9">
        <v>2070</v>
      </c>
      <c r="AE4" s="9">
        <f>B4+M4</f>
        <v>279</v>
      </c>
      <c r="AF4" s="9">
        <f>C4+E4+G4+I4+Q4+U4+W4+Y4+AC4</f>
        <v>2480</v>
      </c>
      <c r="AG4" s="19" t="s">
        <v>53</v>
      </c>
    </row>
    <row r="5" spans="1:33" s="2" customFormat="1" ht="39.75" customHeight="1">
      <c r="A5" s="9" t="s">
        <v>21</v>
      </c>
      <c r="B5" s="9">
        <v>276</v>
      </c>
      <c r="C5" s="9">
        <v>456</v>
      </c>
      <c r="D5" s="9">
        <v>504494</v>
      </c>
      <c r="E5" s="9">
        <v>19</v>
      </c>
      <c r="F5" s="9">
        <v>32741</v>
      </c>
      <c r="G5" s="9">
        <v>78</v>
      </c>
      <c r="H5" s="9">
        <v>134940</v>
      </c>
      <c r="I5" s="9">
        <v>267</v>
      </c>
      <c r="J5" s="9">
        <v>16924</v>
      </c>
      <c r="K5" s="9">
        <v>0</v>
      </c>
      <c r="L5" s="9">
        <v>0</v>
      </c>
      <c r="M5" s="11">
        <v>5</v>
      </c>
      <c r="N5" s="11">
        <v>3000</v>
      </c>
      <c r="O5" s="9">
        <v>0</v>
      </c>
      <c r="P5" s="9">
        <v>0</v>
      </c>
      <c r="Q5" s="9">
        <v>0</v>
      </c>
      <c r="R5" s="9">
        <v>0</v>
      </c>
      <c r="S5" s="9">
        <v>0</v>
      </c>
      <c r="T5" s="9">
        <v>0</v>
      </c>
      <c r="U5" s="9">
        <v>0</v>
      </c>
      <c r="V5" s="9">
        <v>0</v>
      </c>
      <c r="W5" s="9">
        <v>4</v>
      </c>
      <c r="X5" s="9">
        <v>19290</v>
      </c>
      <c r="Y5" s="9">
        <v>7</v>
      </c>
      <c r="Z5" s="9">
        <v>5136.3</v>
      </c>
      <c r="AA5" s="9">
        <v>0</v>
      </c>
      <c r="AB5" s="9">
        <v>0</v>
      </c>
      <c r="AC5" s="9">
        <v>2</v>
      </c>
      <c r="AD5" s="9">
        <v>2070</v>
      </c>
      <c r="AE5" s="9">
        <v>281</v>
      </c>
      <c r="AF5" s="9">
        <v>833</v>
      </c>
      <c r="AG5" s="19" t="s">
        <v>54</v>
      </c>
    </row>
    <row r="6" spans="1:33" s="3" customFormat="1" ht="39.75" customHeight="1">
      <c r="A6" s="10" t="s">
        <v>32</v>
      </c>
      <c r="B6" s="10">
        <f aca="true" t="shared" si="0" ref="B6:J6">SUM(B4:B5)</f>
        <v>554</v>
      </c>
      <c r="C6" s="10">
        <f t="shared" si="0"/>
        <v>917</v>
      </c>
      <c r="D6" s="10">
        <f t="shared" si="0"/>
        <v>1010124</v>
      </c>
      <c r="E6" s="10">
        <f t="shared" si="0"/>
        <v>38</v>
      </c>
      <c r="F6" s="10">
        <f t="shared" si="0"/>
        <v>65482</v>
      </c>
      <c r="G6" s="10">
        <f t="shared" si="0"/>
        <v>155</v>
      </c>
      <c r="H6" s="10">
        <f t="shared" si="0"/>
        <v>268150</v>
      </c>
      <c r="I6" s="10">
        <f t="shared" si="0"/>
        <v>533</v>
      </c>
      <c r="J6" s="10">
        <f t="shared" si="0"/>
        <v>33776</v>
      </c>
      <c r="K6" s="10">
        <v>0</v>
      </c>
      <c r="L6" s="10">
        <v>0</v>
      </c>
      <c r="M6" s="10">
        <v>6</v>
      </c>
      <c r="N6" s="10">
        <f>SUM(N4:N5)</f>
        <v>3500</v>
      </c>
      <c r="O6" s="10">
        <v>0</v>
      </c>
      <c r="P6" s="10">
        <v>0</v>
      </c>
      <c r="Q6" s="10">
        <v>474</v>
      </c>
      <c r="R6" s="10">
        <v>428700</v>
      </c>
      <c r="S6" s="10">
        <v>0</v>
      </c>
      <c r="T6" s="10">
        <v>0</v>
      </c>
      <c r="U6" s="10">
        <v>490</v>
      </c>
      <c r="V6" s="10">
        <f>SUM(V4:V5)</f>
        <v>260000</v>
      </c>
      <c r="W6" s="10">
        <f>SUM(W4:W5)</f>
        <v>73</v>
      </c>
      <c r="X6" s="10">
        <f>SUM(X4:X5)</f>
        <v>194190</v>
      </c>
      <c r="Y6" s="10">
        <f>SUM(Y4:Y5)</f>
        <v>629</v>
      </c>
      <c r="Z6" s="10">
        <f>SUM(Z4:Z5)</f>
        <v>405136.3</v>
      </c>
      <c r="AA6" s="10">
        <v>0</v>
      </c>
      <c r="AB6" s="10">
        <v>0</v>
      </c>
      <c r="AC6" s="10">
        <v>4</v>
      </c>
      <c r="AD6" s="10">
        <f>SUM(AD4:AD5)</f>
        <v>4140</v>
      </c>
      <c r="AE6" s="10">
        <f>SUM(AE4:AE5)</f>
        <v>560</v>
      </c>
      <c r="AF6" s="10">
        <f>SUM(AF4:AF5)</f>
        <v>3313</v>
      </c>
      <c r="AG6" s="10">
        <v>2673198.3</v>
      </c>
    </row>
    <row r="7" spans="3:21" s="4" customFormat="1" ht="13.5">
      <c r="C7" s="5"/>
      <c r="D7" s="5"/>
      <c r="U7" s="5"/>
    </row>
    <row r="8" spans="3:21" s="4" customFormat="1" ht="13.5">
      <c r="C8" s="5"/>
      <c r="D8" s="5"/>
      <c r="O8" s="12"/>
      <c r="P8" s="12"/>
      <c r="Q8" s="14"/>
      <c r="R8" s="14"/>
      <c r="S8" s="14"/>
      <c r="T8" s="14"/>
      <c r="U8" s="5"/>
    </row>
    <row r="9" spans="3:21" s="4" customFormat="1" ht="13.5">
      <c r="C9" s="5"/>
      <c r="D9" s="5"/>
      <c r="U9" s="5"/>
    </row>
    <row r="10" spans="3:21" s="4" customFormat="1" ht="13.5">
      <c r="C10" s="5"/>
      <c r="D10" s="5"/>
      <c r="U10" s="15"/>
    </row>
    <row r="11" spans="3:21" s="4" customFormat="1" ht="13.5">
      <c r="C11" s="5"/>
      <c r="D11" s="5"/>
      <c r="U11" s="5"/>
    </row>
    <row r="12" spans="3:21" s="4" customFormat="1" ht="13.5">
      <c r="C12" s="5"/>
      <c r="D12" s="5"/>
      <c r="U12" s="5"/>
    </row>
    <row r="13" spans="3:21" s="4" customFormat="1" ht="13.5">
      <c r="C13" s="5"/>
      <c r="D13" s="5"/>
      <c r="U13" s="5"/>
    </row>
    <row r="14" spans="3:21" s="4" customFormat="1" ht="13.5">
      <c r="C14" s="5"/>
      <c r="D14" s="5"/>
      <c r="U14" s="5"/>
    </row>
    <row r="15" spans="3:21" s="4" customFormat="1" ht="14.25">
      <c r="C15" s="5"/>
      <c r="D15" s="5"/>
      <c r="R15"/>
      <c r="S15"/>
      <c r="T15"/>
      <c r="U15" s="5"/>
    </row>
  </sheetData>
  <sheetProtection/>
  <mergeCells count="18">
    <mergeCell ref="A1:AG1"/>
    <mergeCell ref="B2:D2"/>
    <mergeCell ref="E2:F2"/>
    <mergeCell ref="G2:H2"/>
    <mergeCell ref="I2:J2"/>
    <mergeCell ref="K2:L2"/>
    <mergeCell ref="M2:N2"/>
    <mergeCell ref="O2:P2"/>
    <mergeCell ref="Q2:R2"/>
    <mergeCell ref="S2:T2"/>
    <mergeCell ref="U2:V2"/>
    <mergeCell ref="W2:X2"/>
    <mergeCell ref="Y2:Z2"/>
    <mergeCell ref="AA2:AB2"/>
    <mergeCell ref="AC2:AD2"/>
    <mergeCell ref="AE2:AG2"/>
    <mergeCell ref="O8:P8"/>
    <mergeCell ref="R8:S8"/>
  </mergeCells>
  <printOptions/>
  <pageMargins left="0.1968503937007874" right="0.07874015748031496" top="0.3937007874015748" bottom="0.3937007874015748" header="0.31496062992125984" footer="0.2755905511811024"/>
  <pageSetup fitToHeight="1" fitToWidth="1" horizontalDpi="600" verticalDpi="600" orientation="landscape" paperSize="9" scale="61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2021-11-02T18:10:28Z</cp:lastPrinted>
  <dcterms:created xsi:type="dcterms:W3CDTF">1996-12-17T17:32:42Z</dcterms:created>
  <dcterms:modified xsi:type="dcterms:W3CDTF">2022-02-24T00:55:38Z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2052-11.1.0.9021</vt:lpwstr>
  </property>
  <property fmtid="{D5CDD505-2E9C-101B-9397-08002B2CF9AE}" pid="4" name="KSORubyTemplate">
    <vt:lpwstr>11</vt:lpwstr>
  </property>
  <property fmtid="{D5CDD505-2E9C-101B-9397-08002B2CF9AE}" pid="5" name="I">
    <vt:lpwstr>6AB2FC2926C548FA84710FB7F6F60A42</vt:lpwstr>
  </property>
</Properties>
</file>